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00" tabRatio="723" activeTab="4"/>
  </bookViews>
  <sheets>
    <sheet name="NERACA" sheetId="134" r:id="rId1"/>
    <sheet name="RUGI LABA " sheetId="149" r:id="rId2"/>
    <sheet name="RL JAN-DES" sheetId="156" r:id="rId3"/>
    <sheet name="KASHAR" sheetId="138" r:id="rId4"/>
    <sheet name="MODUS" sheetId="153" r:id="rId5"/>
    <sheet name="MULTI" sheetId="141" r:id="rId6"/>
    <sheet name="REKAP" sheetId="137" r:id="rId7"/>
    <sheet name="BRILink" sheetId="150" r:id="rId8"/>
    <sheet name="BIAYA OPERASIONAL" sheetId="155" r:id="rId9"/>
    <sheet name="Gaji Pengawas" sheetId="157" r:id="rId10"/>
    <sheet name="Gaji Pegawai" sheetId="158" r:id="rId11"/>
    <sheet name="TOKO BENGKEL" sheetId="165" r:id="rId12"/>
    <sheet name="INVENTARIS" sheetId="166" r:id="rId13"/>
    <sheet name="titik 1" sheetId="167" r:id="rId14"/>
    <sheet name="titik 2" sheetId="168" r:id="rId15"/>
    <sheet name="titik 3" sheetId="169" r:id="rId16"/>
    <sheet name="titik 4" sheetId="170" r:id="rId17"/>
    <sheet name="titik 5" sheetId="171" r:id="rId18"/>
    <sheet name="titik 6" sheetId="172" r:id="rId19"/>
    <sheet name="titik 7" sheetId="173" r:id="rId20"/>
    <sheet name="titik 8" sheetId="174" r:id="rId21"/>
    <sheet name="PENG. GALUNG JAMPU TAHAP KE 2" sheetId="175" r:id="rId22"/>
    <sheet name="PENG. LOMPO E TAHAP KE (2)" sheetId="176" r:id="rId23"/>
    <sheet name="Mantanaice bor air" sheetId="177" r:id="rId24"/>
    <sheet name="Pengadaan barang dan jasa" sheetId="178" r:id="rId25"/>
    <sheet name="Sheet1" sheetId="179" r:id="rId26"/>
    <sheet name="PESTISIDA (2)" sheetId="181" r:id="rId27"/>
  </sheets>
  <externalReferences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</externalReferences>
  <definedNames>
    <definedName name="_xlnm._FilterDatabase" localSheetId="3" hidden="1">KASHAR!$A$1:$AA$186</definedName>
    <definedName name="\X">#REF!</definedName>
    <definedName name="____________________MDE09">[1]Peralatan!$BO$187</definedName>
    <definedName name="____________________MDE10">[1]Peralatan!$BO$207</definedName>
    <definedName name="____________________MDE11">[1]Peralatan!$BO$227</definedName>
    <definedName name="____________________MDE25">[1]Peralatan!$BO$507</definedName>
    <definedName name="____________________ME09">[1]Peralatan!$BO$186</definedName>
    <definedName name="____________________ME10">[1]Peralatan!$BO$206</definedName>
    <definedName name="____________________ME11">[1]Peralatan!$BO$226</definedName>
    <definedName name="____________________ME25">[1]Peralatan!$BO$506</definedName>
    <definedName name="___________________MDE01">[1]Peralatan!$BO$27</definedName>
    <definedName name="___________________MDE02">[1]Peralatan!$BO$47</definedName>
    <definedName name="___________________MDE03">[1]Peralatan!$BO$67</definedName>
    <definedName name="___________________MDE04">[1]Peralatan!$BO$87</definedName>
    <definedName name="___________________MDE05">[1]Peralatan!$BO$107</definedName>
    <definedName name="___________________MDE06">[1]Peralatan!$BO$127</definedName>
    <definedName name="___________________MDE07">[1]Peralatan!$BO$147</definedName>
    <definedName name="___________________MDE08">[1]Peralatan!$BO$167</definedName>
    <definedName name="___________________MDE09">[1]Peralatan!$BO$187</definedName>
    <definedName name="___________________MDE10">[1]Peralatan!$BO$207</definedName>
    <definedName name="___________________MDE11">[1]Peralatan!$BO$227</definedName>
    <definedName name="___________________MDE13">[1]Peralatan!$BO$267</definedName>
    <definedName name="___________________MDE14">[1]Peralatan!$BO$287</definedName>
    <definedName name="___________________MDE15">[1]Peralatan!$BO$307</definedName>
    <definedName name="___________________MDE16">[1]Peralatan!$BO$327</definedName>
    <definedName name="___________________MDE17">[1]Peralatan!$BO$347</definedName>
    <definedName name="___________________MDE18">[1]Peralatan!$BO$367</definedName>
    <definedName name="___________________MDE19">[1]Peralatan!$BO$387</definedName>
    <definedName name="___________________MDE20">[1]Peralatan!$BO$407</definedName>
    <definedName name="___________________MDE21">[1]Peralatan!$BO$427</definedName>
    <definedName name="___________________MDE22">[1]Peralatan!$BO$447</definedName>
    <definedName name="___________________MDE23">[1]Peralatan!$BO$467</definedName>
    <definedName name="___________________MDE24">[1]Peralatan!$BO$487</definedName>
    <definedName name="___________________MDE25">[1]Peralatan!$BO$507</definedName>
    <definedName name="___________________MDE27">[1]Peralatan!$BO$547</definedName>
    <definedName name="___________________MDE28">[1]Peralatan!$BO$567</definedName>
    <definedName name="___________________MDE29">[1]Peralatan!$BO$587</definedName>
    <definedName name="___________________MDE30">[1]Peralatan!$BO$607</definedName>
    <definedName name="___________________MDE31">[1]Peralatan!$BO$627</definedName>
    <definedName name="___________________MDE32">[1]Peralatan!$BO$647</definedName>
    <definedName name="___________________MDE33">[1]Peralatan!$BO$667</definedName>
    <definedName name="___________________MDE34">[1]Peralatan!$BO$698</definedName>
    <definedName name="___________________ME01">[1]Peralatan!$BO$26</definedName>
    <definedName name="___________________ME02">[1]Peralatan!$BO$46</definedName>
    <definedName name="___________________ME03">[1]Peralatan!$BO$66</definedName>
    <definedName name="___________________ME04">[1]Peralatan!$BO$86</definedName>
    <definedName name="___________________ME05">[1]Peralatan!$BO$106</definedName>
    <definedName name="___________________ME06">[1]Peralatan!$BO$126</definedName>
    <definedName name="___________________ME07">[1]Peralatan!$BO$146</definedName>
    <definedName name="___________________ME08">[1]Peralatan!$BO$166</definedName>
    <definedName name="___________________ME09">[1]Peralatan!$BO$186</definedName>
    <definedName name="___________________ME10">[1]Peralatan!$BO$206</definedName>
    <definedName name="___________________ME11">[1]Peralatan!$BO$226</definedName>
    <definedName name="___________________ME13">[1]Peralatan!$BO$266</definedName>
    <definedName name="___________________ME14">[1]Peralatan!$BO$286</definedName>
    <definedName name="___________________ME15">[1]Peralatan!$BO$306</definedName>
    <definedName name="___________________ME16">[1]Peralatan!$BO$326</definedName>
    <definedName name="___________________ME17">[1]Peralatan!$BO$346</definedName>
    <definedName name="___________________ME18">[1]Peralatan!$BO$366</definedName>
    <definedName name="___________________ME19">[1]Peralatan!$BO$386</definedName>
    <definedName name="___________________ME20">[1]Peralatan!$BO$406</definedName>
    <definedName name="___________________ME21">[1]Peralatan!$BO$426</definedName>
    <definedName name="___________________ME22">[1]Peralatan!$BO$446</definedName>
    <definedName name="___________________ME23">[1]Peralatan!$BO$466</definedName>
    <definedName name="___________________ME24">[1]Peralatan!$BO$486</definedName>
    <definedName name="___________________ME25">[1]Peralatan!$BO$506</definedName>
    <definedName name="___________________ME27">[1]Peralatan!$BO$546</definedName>
    <definedName name="___________________ME28">[1]Peralatan!$BO$566</definedName>
    <definedName name="___________________ME29">[1]Peralatan!$BO$586</definedName>
    <definedName name="___________________ME30">[1]Peralatan!$BO$606</definedName>
    <definedName name="___________________ME31">[1]Peralatan!$BO$626</definedName>
    <definedName name="___________________ME32">[1]Peralatan!$BO$646</definedName>
    <definedName name="___________________ME33">[1]Peralatan!$BO$666</definedName>
    <definedName name="___________________ME34">[1]Peralatan!$BO$697</definedName>
    <definedName name="__________________MDE01">[1]Peralatan!$BO$27</definedName>
    <definedName name="__________________MDE02">[1]Peralatan!$BO$47</definedName>
    <definedName name="__________________MDE03">[1]Peralatan!$BO$67</definedName>
    <definedName name="__________________MDE04">[1]Peralatan!$BO$87</definedName>
    <definedName name="__________________MDE05">[1]Peralatan!$BO$107</definedName>
    <definedName name="__________________MDE06">[1]Peralatan!$BO$127</definedName>
    <definedName name="__________________MDE07">[1]Peralatan!$BO$147</definedName>
    <definedName name="__________________MDE08">[1]Peralatan!$BO$167</definedName>
    <definedName name="__________________MDE09">[1]Peralatan!$BO$187</definedName>
    <definedName name="__________________MDE10">[1]Peralatan!$BO$207</definedName>
    <definedName name="__________________MDE11">[1]Peralatan!$BO$227</definedName>
    <definedName name="__________________MDE12">[1]Peralatan!$BO$247</definedName>
    <definedName name="__________________MDE13">[1]Peralatan!$BO$267</definedName>
    <definedName name="__________________MDE14">[1]Peralatan!$BO$287</definedName>
    <definedName name="__________________MDE15">[1]Peralatan!$BO$307</definedName>
    <definedName name="__________________MDE16">[1]Peralatan!$BO$327</definedName>
    <definedName name="__________________MDE17">[1]Peralatan!$BO$347</definedName>
    <definedName name="__________________MDE18">[1]Peralatan!$BO$367</definedName>
    <definedName name="__________________MDE19">[1]Peralatan!$BO$387</definedName>
    <definedName name="__________________MDE20">[1]Peralatan!$BO$407</definedName>
    <definedName name="__________________MDE21">[1]Peralatan!$BO$427</definedName>
    <definedName name="__________________MDE22">[1]Peralatan!$BO$447</definedName>
    <definedName name="__________________MDE23">[1]Peralatan!$BO$467</definedName>
    <definedName name="__________________MDE24">[1]Peralatan!$BO$487</definedName>
    <definedName name="__________________MDE25">[1]Peralatan!$BO$507</definedName>
    <definedName name="__________________MDE26">[1]Peralatan!$BO$527</definedName>
    <definedName name="__________________MDE27">[1]Peralatan!$BO$547</definedName>
    <definedName name="__________________MDE28">[1]Peralatan!$BO$567</definedName>
    <definedName name="__________________MDE29">[1]Peralatan!$BO$587</definedName>
    <definedName name="__________________MDE30">[1]Peralatan!$BO$607</definedName>
    <definedName name="__________________MDE31">[1]Peralatan!$BO$627</definedName>
    <definedName name="__________________MDE32">[1]Peralatan!$BO$647</definedName>
    <definedName name="__________________MDE33">[1]Peralatan!$BO$667</definedName>
    <definedName name="__________________MDE34">[1]Peralatan!$BO$698</definedName>
    <definedName name="__________________ME01">[1]Peralatan!$BO$26</definedName>
    <definedName name="__________________ME02">[1]Peralatan!$BO$46</definedName>
    <definedName name="__________________ME03">[1]Peralatan!$BO$66</definedName>
    <definedName name="__________________ME04">[1]Peralatan!$BO$86</definedName>
    <definedName name="__________________ME05">[1]Peralatan!$BO$106</definedName>
    <definedName name="__________________ME06">[1]Peralatan!$BO$126</definedName>
    <definedName name="__________________ME07">[1]Peralatan!$BO$146</definedName>
    <definedName name="__________________ME08">[1]Peralatan!$BO$166</definedName>
    <definedName name="__________________ME09">[1]Peralatan!$BO$186</definedName>
    <definedName name="__________________ME10">[1]Peralatan!$BO$206</definedName>
    <definedName name="__________________ME11">[1]Peralatan!$BO$226</definedName>
    <definedName name="__________________ME12">[1]Peralatan!$BO$246</definedName>
    <definedName name="__________________ME13">[1]Peralatan!$BO$266</definedName>
    <definedName name="__________________ME14">[1]Peralatan!$BO$286</definedName>
    <definedName name="__________________ME15">[1]Peralatan!$BO$306</definedName>
    <definedName name="__________________ME16">[1]Peralatan!$BO$326</definedName>
    <definedName name="__________________ME17">[1]Peralatan!$BO$346</definedName>
    <definedName name="__________________ME18">[1]Peralatan!$BO$366</definedName>
    <definedName name="__________________ME19">[1]Peralatan!$BO$386</definedName>
    <definedName name="__________________ME20">[1]Peralatan!$BO$406</definedName>
    <definedName name="__________________ME21">[1]Peralatan!$BO$426</definedName>
    <definedName name="__________________ME22">[1]Peralatan!$BO$446</definedName>
    <definedName name="__________________ME23">[1]Peralatan!$BO$466</definedName>
    <definedName name="__________________ME24">[1]Peralatan!$BO$486</definedName>
    <definedName name="__________________ME25">[1]Peralatan!$BO$506</definedName>
    <definedName name="__________________ME26">[1]Peralatan!$BO$526</definedName>
    <definedName name="__________________ME27">[1]Peralatan!$BO$546</definedName>
    <definedName name="__________________ME28">[1]Peralatan!$BO$566</definedName>
    <definedName name="__________________ME29">[1]Peralatan!$BO$586</definedName>
    <definedName name="__________________ME30">[1]Peralatan!$BO$606</definedName>
    <definedName name="__________________ME31">[1]Peralatan!$BO$626</definedName>
    <definedName name="__________________ME32">[1]Peralatan!$BO$646</definedName>
    <definedName name="__________________ME33">[1]Peralatan!$BO$666</definedName>
    <definedName name="__________________ME34">[1]Peralatan!$BO$697</definedName>
    <definedName name="_________________MDE01">[1]Peralatan!$BO$27</definedName>
    <definedName name="_________________MDE02">[1]Peralatan!$BO$47</definedName>
    <definedName name="_________________MDE03">[1]Peralatan!$BO$67</definedName>
    <definedName name="_________________MDE04">[1]Peralatan!$BO$87</definedName>
    <definedName name="_________________MDE05">[1]Peralatan!$BO$107</definedName>
    <definedName name="_________________MDE06">[1]Peralatan!$BO$127</definedName>
    <definedName name="_________________MDE07">[1]Peralatan!$BO$147</definedName>
    <definedName name="_________________MDE08">[1]Peralatan!$BO$167</definedName>
    <definedName name="_________________MDE09">[1]Peralatan!$BO$187</definedName>
    <definedName name="_________________MDE10">[1]Peralatan!$BO$207</definedName>
    <definedName name="_________________MDE11">[1]Peralatan!$BO$227</definedName>
    <definedName name="_________________MDE12">[1]Peralatan!$BO$247</definedName>
    <definedName name="_________________MDE13">[1]Peralatan!$BO$267</definedName>
    <definedName name="_________________MDE14">[1]Peralatan!$BO$287</definedName>
    <definedName name="_________________MDE15">[1]Peralatan!$BO$307</definedName>
    <definedName name="_________________MDE16">[1]Peralatan!$BO$327</definedName>
    <definedName name="_________________MDE17">[1]Peralatan!$BO$347</definedName>
    <definedName name="_________________MDE18">[1]Peralatan!$BO$367</definedName>
    <definedName name="_________________MDE19">[1]Peralatan!$BO$387</definedName>
    <definedName name="_________________MDE20">[1]Peralatan!$BO$407</definedName>
    <definedName name="_________________MDE21">[1]Peralatan!$BO$427</definedName>
    <definedName name="_________________MDE22">[1]Peralatan!$BO$447</definedName>
    <definedName name="_________________MDE23">[1]Peralatan!$BO$467</definedName>
    <definedName name="_________________MDE24">[1]Peralatan!$BO$487</definedName>
    <definedName name="_________________MDE25">[1]Peralatan!$BO$507</definedName>
    <definedName name="_________________MDE26">[1]Peralatan!$BO$527</definedName>
    <definedName name="_________________MDE27">[1]Peralatan!$BO$547</definedName>
    <definedName name="_________________MDE28">[1]Peralatan!$BO$567</definedName>
    <definedName name="_________________MDE29">[1]Peralatan!$BO$587</definedName>
    <definedName name="_________________MDE30">[1]Peralatan!$BO$607</definedName>
    <definedName name="_________________MDE31">[1]Peralatan!$BO$627</definedName>
    <definedName name="_________________MDE32">[1]Peralatan!$BO$647</definedName>
    <definedName name="_________________MDE33">[1]Peralatan!$BO$667</definedName>
    <definedName name="_________________MDE34">[1]Peralatan!$BO$698</definedName>
    <definedName name="_________________ME01">[1]Peralatan!$BO$26</definedName>
    <definedName name="_________________ME02">[1]Peralatan!$BO$46</definedName>
    <definedName name="_________________ME03">[1]Peralatan!$BO$66</definedName>
    <definedName name="_________________ME04">[1]Peralatan!$BO$86</definedName>
    <definedName name="_________________ME05">[1]Peralatan!$BO$106</definedName>
    <definedName name="_________________ME06">[1]Peralatan!$BO$126</definedName>
    <definedName name="_________________ME07">[1]Peralatan!$BO$146</definedName>
    <definedName name="_________________ME08">[1]Peralatan!$BO$166</definedName>
    <definedName name="_________________ME09">[1]Peralatan!$BO$186</definedName>
    <definedName name="_________________ME10">[1]Peralatan!$BO$206</definedName>
    <definedName name="_________________ME11">[1]Peralatan!$BO$226</definedName>
    <definedName name="_________________ME12">[1]Peralatan!$BO$246</definedName>
    <definedName name="_________________ME13">[1]Peralatan!$BO$266</definedName>
    <definedName name="_________________ME14">[1]Peralatan!$BO$286</definedName>
    <definedName name="_________________ME15">[1]Peralatan!$BO$306</definedName>
    <definedName name="_________________ME16">[1]Peralatan!$BO$326</definedName>
    <definedName name="_________________ME17">[1]Peralatan!$BO$346</definedName>
    <definedName name="_________________ME18">[1]Peralatan!$BO$366</definedName>
    <definedName name="_________________ME19">[1]Peralatan!$BO$386</definedName>
    <definedName name="_________________ME20">[1]Peralatan!$BO$406</definedName>
    <definedName name="_________________ME21">[1]Peralatan!$BO$426</definedName>
    <definedName name="_________________ME22">[1]Peralatan!$BO$446</definedName>
    <definedName name="_________________ME23">[1]Peralatan!$BO$466</definedName>
    <definedName name="_________________ME24">[1]Peralatan!$BO$486</definedName>
    <definedName name="_________________ME25">[1]Peralatan!$BO$506</definedName>
    <definedName name="_________________ME26">[1]Peralatan!$BO$526</definedName>
    <definedName name="_________________ME27">[1]Peralatan!$BO$546</definedName>
    <definedName name="_________________ME28">[1]Peralatan!$BO$566</definedName>
    <definedName name="_________________ME29">[1]Peralatan!$BO$586</definedName>
    <definedName name="_________________ME30">[1]Peralatan!$BO$606</definedName>
    <definedName name="_________________ME31">[1]Peralatan!$BO$626</definedName>
    <definedName name="_________________ME32">[1]Peralatan!$BO$646</definedName>
    <definedName name="_________________ME33">[1]Peralatan!$BO$666</definedName>
    <definedName name="_________________ME34">[1]Peralatan!$BO$697</definedName>
    <definedName name="________________MDE01">[1]Peralatan!$BO$27</definedName>
    <definedName name="________________MDE02">[1]Peralatan!$BO$47</definedName>
    <definedName name="________________MDE03">[1]Peralatan!$BO$67</definedName>
    <definedName name="________________MDE04">[1]Peralatan!$BO$87</definedName>
    <definedName name="________________MDE05">[1]Peralatan!$BO$107</definedName>
    <definedName name="________________MDE06">[1]Peralatan!$BO$127</definedName>
    <definedName name="________________MDE07">[1]Peralatan!$BO$147</definedName>
    <definedName name="________________MDE08">[1]Peralatan!$BO$167</definedName>
    <definedName name="________________MDE09">[1]Peralatan!$BO$187</definedName>
    <definedName name="________________MDE10">[1]Peralatan!$BO$207</definedName>
    <definedName name="________________MDE11">[1]Peralatan!$BO$227</definedName>
    <definedName name="________________MDE12">[1]Peralatan!$BO$247</definedName>
    <definedName name="________________MDE13">[1]Peralatan!$BO$267</definedName>
    <definedName name="________________MDE14">[1]Peralatan!$BO$287</definedName>
    <definedName name="________________MDE15">[1]Peralatan!$BO$307</definedName>
    <definedName name="________________MDE16">[1]Peralatan!$BO$327</definedName>
    <definedName name="________________MDE17">[1]Peralatan!$BO$347</definedName>
    <definedName name="________________MDE18">[1]Peralatan!$BO$367</definedName>
    <definedName name="________________MDE19">[1]Peralatan!$BO$387</definedName>
    <definedName name="________________MDE20">[1]Peralatan!$BO$407</definedName>
    <definedName name="________________MDE21">[1]Peralatan!$BO$427</definedName>
    <definedName name="________________MDE22">[1]Peralatan!$BO$447</definedName>
    <definedName name="________________MDE23">[1]Peralatan!$BO$467</definedName>
    <definedName name="________________MDE24">[1]Peralatan!$BO$487</definedName>
    <definedName name="________________MDE25">[1]Peralatan!$BO$507</definedName>
    <definedName name="________________MDE26">[1]Peralatan!$BO$527</definedName>
    <definedName name="________________MDE27">[1]Peralatan!$BO$547</definedName>
    <definedName name="________________MDE28">[1]Peralatan!$BO$567</definedName>
    <definedName name="________________MDE29">[1]Peralatan!$BO$587</definedName>
    <definedName name="________________MDE30">[1]Peralatan!$BO$607</definedName>
    <definedName name="________________MDE31">[1]Peralatan!$BO$627</definedName>
    <definedName name="________________MDE32">[1]Peralatan!$BO$647</definedName>
    <definedName name="________________MDE33">[1]Peralatan!$BO$667</definedName>
    <definedName name="________________MDE34">[1]Peralatan!$BO$698</definedName>
    <definedName name="________________ME01">[1]Peralatan!$BO$26</definedName>
    <definedName name="________________ME02">[1]Peralatan!$BO$46</definedName>
    <definedName name="________________ME03">[1]Peralatan!$BO$66</definedName>
    <definedName name="________________ME04">[1]Peralatan!$BO$86</definedName>
    <definedName name="________________ME05">[1]Peralatan!$BO$106</definedName>
    <definedName name="________________ME06">[1]Peralatan!$BO$126</definedName>
    <definedName name="________________ME07">[1]Peralatan!$BO$146</definedName>
    <definedName name="________________ME08">[1]Peralatan!$BO$166</definedName>
    <definedName name="________________ME09">[1]Peralatan!$BO$186</definedName>
    <definedName name="________________ME10">[1]Peralatan!$BO$206</definedName>
    <definedName name="________________ME11">[1]Peralatan!$BO$226</definedName>
    <definedName name="________________ME12">[1]Peralatan!$BO$246</definedName>
    <definedName name="________________ME13">[1]Peralatan!$BO$266</definedName>
    <definedName name="________________ME14">[1]Peralatan!$BO$286</definedName>
    <definedName name="________________ME15">[1]Peralatan!$BO$306</definedName>
    <definedName name="________________ME16">[1]Peralatan!$BO$326</definedName>
    <definedName name="________________ME17">[1]Peralatan!$BO$346</definedName>
    <definedName name="________________ME18">[1]Peralatan!$BO$366</definedName>
    <definedName name="________________ME19">[1]Peralatan!$BO$386</definedName>
    <definedName name="________________ME20">[1]Peralatan!$BO$406</definedName>
    <definedName name="________________ME21">[1]Peralatan!$BO$426</definedName>
    <definedName name="________________ME22">[1]Peralatan!$BO$446</definedName>
    <definedName name="________________ME23">[1]Peralatan!$BO$466</definedName>
    <definedName name="________________ME24">[1]Peralatan!$BO$486</definedName>
    <definedName name="________________ME25">[1]Peralatan!$BO$506</definedName>
    <definedName name="________________ME26">[1]Peralatan!$BO$526</definedName>
    <definedName name="________________ME27">[1]Peralatan!$BO$546</definedName>
    <definedName name="________________ME28">[1]Peralatan!$BO$566</definedName>
    <definedName name="________________ME29">[1]Peralatan!$BO$586</definedName>
    <definedName name="________________ME30">[1]Peralatan!$BO$606</definedName>
    <definedName name="________________ME31">[1]Peralatan!$BO$626</definedName>
    <definedName name="________________ME32">[1]Peralatan!$BO$646</definedName>
    <definedName name="________________ME33">[1]Peralatan!$BO$666</definedName>
    <definedName name="________________ME34">[1]Peralatan!$BO$697</definedName>
    <definedName name="_______________MDE01">[1]Peralatan!$BO$27</definedName>
    <definedName name="_______________MDE02">[1]Peralatan!$BO$47</definedName>
    <definedName name="_______________MDE03">[1]Peralatan!$BO$67</definedName>
    <definedName name="_______________MDE04">[1]Peralatan!$BO$87</definedName>
    <definedName name="_______________MDE05">[1]Peralatan!$BO$107</definedName>
    <definedName name="_______________MDE06">[1]Peralatan!$BO$127</definedName>
    <definedName name="_______________MDE07">[1]Peralatan!$BO$147</definedName>
    <definedName name="_______________MDE08">[1]Peralatan!$BO$167</definedName>
    <definedName name="_______________MDE09">[1]Peralatan!$BO$187</definedName>
    <definedName name="_______________MDE10">[1]Peralatan!$BO$207</definedName>
    <definedName name="_______________MDE11">[1]Peralatan!$BO$227</definedName>
    <definedName name="_______________MDE12">[1]Peralatan!$BO$247</definedName>
    <definedName name="_______________MDE13">[1]Peralatan!$BO$267</definedName>
    <definedName name="_______________MDE14">[1]Peralatan!$BO$287</definedName>
    <definedName name="_______________MDE15">[1]Peralatan!$BO$307</definedName>
    <definedName name="_______________MDE16">[1]Peralatan!$BO$327</definedName>
    <definedName name="_______________MDE17">[1]Peralatan!$BO$347</definedName>
    <definedName name="_______________MDE18">[1]Peralatan!$BO$367</definedName>
    <definedName name="_______________MDE19">[1]Peralatan!$BO$387</definedName>
    <definedName name="_______________MDE20">[1]Peralatan!$BO$407</definedName>
    <definedName name="_______________MDE21">[1]Peralatan!$BO$427</definedName>
    <definedName name="_______________MDE22">[1]Peralatan!$BO$447</definedName>
    <definedName name="_______________MDE23">[1]Peralatan!$BO$467</definedName>
    <definedName name="_______________MDE24">[1]Peralatan!$BO$487</definedName>
    <definedName name="_______________MDE25">[1]Peralatan!$BO$507</definedName>
    <definedName name="_______________MDE26">[1]Peralatan!$BO$527</definedName>
    <definedName name="_______________MDE27">[1]Peralatan!$BO$547</definedName>
    <definedName name="_______________MDE28">[1]Peralatan!$BO$567</definedName>
    <definedName name="_______________MDE29">[1]Peralatan!$BO$587</definedName>
    <definedName name="_______________MDE30">[1]Peralatan!$BO$607</definedName>
    <definedName name="_______________MDE31">[1]Peralatan!$BO$627</definedName>
    <definedName name="_______________MDE32">[1]Peralatan!$BO$647</definedName>
    <definedName name="_______________MDE33">[1]Peralatan!$BO$667</definedName>
    <definedName name="_______________MDE34">[1]Peralatan!$BO$698</definedName>
    <definedName name="_______________ME01">[1]Peralatan!$BO$26</definedName>
    <definedName name="_______________ME02">[1]Peralatan!$BO$46</definedName>
    <definedName name="_______________ME03">[1]Peralatan!$BO$66</definedName>
    <definedName name="_______________ME04">[1]Peralatan!$BO$86</definedName>
    <definedName name="_______________ME05">[1]Peralatan!$BO$106</definedName>
    <definedName name="_______________ME06">[1]Peralatan!$BO$126</definedName>
    <definedName name="_______________ME07">[1]Peralatan!$BO$146</definedName>
    <definedName name="_______________ME08">[1]Peralatan!$BO$166</definedName>
    <definedName name="_______________ME09">[1]Peralatan!$BO$186</definedName>
    <definedName name="_______________ME10">[1]Peralatan!$BO$206</definedName>
    <definedName name="_______________ME11">[1]Peralatan!$BO$226</definedName>
    <definedName name="_______________ME12">[1]Peralatan!$BO$246</definedName>
    <definedName name="_______________ME13">[1]Peralatan!$BO$266</definedName>
    <definedName name="_______________ME14">[1]Peralatan!$BO$286</definedName>
    <definedName name="_______________ME15">[1]Peralatan!$BO$306</definedName>
    <definedName name="_______________ME16">[1]Peralatan!$BO$326</definedName>
    <definedName name="_______________ME17">[1]Peralatan!$BO$346</definedName>
    <definedName name="_______________ME18">[1]Peralatan!$BO$366</definedName>
    <definedName name="_______________ME19">[1]Peralatan!$BO$386</definedName>
    <definedName name="_______________ME20">[1]Peralatan!$BO$406</definedName>
    <definedName name="_______________ME21">[1]Peralatan!$BO$426</definedName>
    <definedName name="_______________ME22">[1]Peralatan!$BO$446</definedName>
    <definedName name="_______________ME23">[1]Peralatan!$BO$466</definedName>
    <definedName name="_______________ME24">[1]Peralatan!$BO$486</definedName>
    <definedName name="_______________ME25">[1]Peralatan!$BO$506</definedName>
    <definedName name="_______________ME26">[1]Peralatan!$BO$526</definedName>
    <definedName name="_______________ME27">[1]Peralatan!$BO$546</definedName>
    <definedName name="_______________ME28">[1]Peralatan!$BO$566</definedName>
    <definedName name="_______________ME29">[1]Peralatan!$BO$586</definedName>
    <definedName name="_______________ME30">[1]Peralatan!$BO$606</definedName>
    <definedName name="_______________ME31">[1]Peralatan!$BO$626</definedName>
    <definedName name="_______________ME32">[1]Peralatan!$BO$646</definedName>
    <definedName name="_______________ME33">[1]Peralatan!$BO$666</definedName>
    <definedName name="_______________ME34">[1]Peralatan!$BO$697</definedName>
    <definedName name="______________MDE01">[1]Peralatan!$BO$27</definedName>
    <definedName name="______________MDE02">[1]Peralatan!$BO$47</definedName>
    <definedName name="______________MDE03">[1]Peralatan!$BO$67</definedName>
    <definedName name="______________MDE04">[1]Peralatan!$BO$87</definedName>
    <definedName name="______________MDE05">[1]Peralatan!$BO$107</definedName>
    <definedName name="______________MDE06">[1]Peralatan!$BO$127</definedName>
    <definedName name="______________MDE07">[1]Peralatan!$BO$147</definedName>
    <definedName name="______________MDE08">[1]Peralatan!$BO$167</definedName>
    <definedName name="______________MDE09">[1]Peralatan!$BO$187</definedName>
    <definedName name="______________MDE10">[1]Peralatan!$BO$207</definedName>
    <definedName name="______________MDE11">[1]Peralatan!$BO$227</definedName>
    <definedName name="______________MDE12">[1]Peralatan!$BO$247</definedName>
    <definedName name="______________MDE13">[1]Peralatan!$BO$267</definedName>
    <definedName name="______________MDE14">[1]Peralatan!$BO$287</definedName>
    <definedName name="______________MDE15">[1]Peralatan!$BO$307</definedName>
    <definedName name="______________MDE16">[1]Peralatan!$BO$327</definedName>
    <definedName name="______________MDE17">[1]Peralatan!$BO$347</definedName>
    <definedName name="______________MDE18">[1]Peralatan!$BO$367</definedName>
    <definedName name="______________MDE19">[1]Peralatan!$BO$387</definedName>
    <definedName name="______________MDE20">[1]Peralatan!$BO$407</definedName>
    <definedName name="______________MDE21">[1]Peralatan!$BO$427</definedName>
    <definedName name="______________MDE22">[1]Peralatan!$BO$447</definedName>
    <definedName name="______________MDE23">[1]Peralatan!$BO$467</definedName>
    <definedName name="______________MDE24">[1]Peralatan!$BO$487</definedName>
    <definedName name="______________MDE25">[1]Peralatan!$BO$507</definedName>
    <definedName name="______________MDE26">[1]Peralatan!$BO$527</definedName>
    <definedName name="______________MDE27">[1]Peralatan!$BO$547</definedName>
    <definedName name="______________MDE28">[1]Peralatan!$BO$567</definedName>
    <definedName name="______________MDE29">[1]Peralatan!$BO$587</definedName>
    <definedName name="______________MDE30">[1]Peralatan!$BO$607</definedName>
    <definedName name="______________MDE31">[1]Peralatan!$BO$627</definedName>
    <definedName name="______________MDE32">[1]Peralatan!$BO$647</definedName>
    <definedName name="______________MDE33">[1]Peralatan!$BO$667</definedName>
    <definedName name="______________MDE34">[1]Peralatan!$BO$698</definedName>
    <definedName name="______________ME01">[1]Peralatan!$BO$26</definedName>
    <definedName name="______________ME02">[1]Peralatan!$BO$46</definedName>
    <definedName name="______________ME03">[1]Peralatan!$BO$66</definedName>
    <definedName name="______________ME04">[1]Peralatan!$BO$86</definedName>
    <definedName name="______________ME05">[1]Peralatan!$BO$106</definedName>
    <definedName name="______________ME06">[1]Peralatan!$BO$126</definedName>
    <definedName name="______________ME07">[1]Peralatan!$BO$146</definedName>
    <definedName name="______________ME08">[1]Peralatan!$BO$166</definedName>
    <definedName name="______________ME09">[1]Peralatan!$BO$186</definedName>
    <definedName name="______________ME10">[1]Peralatan!$BO$206</definedName>
    <definedName name="______________ME11">[1]Peralatan!$BO$226</definedName>
    <definedName name="______________ME12">[1]Peralatan!$BO$246</definedName>
    <definedName name="______________ME13">[1]Peralatan!$BO$266</definedName>
    <definedName name="______________ME14">[1]Peralatan!$BO$286</definedName>
    <definedName name="______________ME15">[1]Peralatan!$BO$306</definedName>
    <definedName name="______________ME16">[1]Peralatan!$BO$326</definedName>
    <definedName name="______________ME17">[1]Peralatan!$BO$346</definedName>
    <definedName name="______________ME18">[1]Peralatan!$BO$366</definedName>
    <definedName name="______________ME19">[1]Peralatan!$BO$386</definedName>
    <definedName name="______________ME20">[1]Peralatan!$BO$406</definedName>
    <definedName name="______________ME21">[1]Peralatan!$BO$426</definedName>
    <definedName name="______________ME22">[1]Peralatan!$BO$446</definedName>
    <definedName name="______________ME23">[1]Peralatan!$BO$466</definedName>
    <definedName name="______________ME24">[1]Peralatan!$BO$486</definedName>
    <definedName name="______________ME25">[1]Peralatan!$BO$506</definedName>
    <definedName name="______________ME26">[1]Peralatan!$BO$526</definedName>
    <definedName name="______________ME27">[1]Peralatan!$BO$546</definedName>
    <definedName name="______________ME28">[1]Peralatan!$BO$566</definedName>
    <definedName name="______________ME29">[1]Peralatan!$BO$586</definedName>
    <definedName name="______________ME30">[1]Peralatan!$BO$606</definedName>
    <definedName name="______________ME31">[1]Peralatan!$BO$626</definedName>
    <definedName name="______________ME32">[1]Peralatan!$BO$646</definedName>
    <definedName name="______________ME33">[1]Peralatan!$BO$666</definedName>
    <definedName name="______________ME34">[1]Peralatan!$BO$697</definedName>
    <definedName name="_____________MDE01">[1]Peralatan!$BO$27</definedName>
    <definedName name="_____________MDE02">[1]Peralatan!$BO$47</definedName>
    <definedName name="_____________MDE03">[1]Peralatan!$BO$67</definedName>
    <definedName name="_____________MDE04">[1]Peralatan!$BO$87</definedName>
    <definedName name="_____________MDE05">[1]Peralatan!$BO$107</definedName>
    <definedName name="_____________MDE06">[1]Peralatan!$BO$127</definedName>
    <definedName name="_____________MDE07">[1]Peralatan!$BO$147</definedName>
    <definedName name="_____________MDE08">[1]Peralatan!$BO$167</definedName>
    <definedName name="_____________MDE09">[2]Peralatan!$BO$187</definedName>
    <definedName name="_____________MDE10">[2]Peralatan!$BO$207</definedName>
    <definedName name="_____________MDE11">[2]Peralatan!$BO$227</definedName>
    <definedName name="_____________MDE12">[1]Peralatan!$BO$247</definedName>
    <definedName name="_____________MDE13">[1]Peralatan!$BO$267</definedName>
    <definedName name="_____________MDE14">[1]Peralatan!$BO$287</definedName>
    <definedName name="_____________MDE15">[1]Peralatan!$BO$307</definedName>
    <definedName name="_____________MDE16">[1]Peralatan!$BO$327</definedName>
    <definedName name="_____________MDE17">[1]Peralatan!$BO$347</definedName>
    <definedName name="_____________MDE18">[1]Peralatan!$BO$367</definedName>
    <definedName name="_____________MDE19">[1]Peralatan!$BO$387</definedName>
    <definedName name="_____________MDE20">[1]Peralatan!$BO$407</definedName>
    <definedName name="_____________MDE21">[1]Peralatan!$BO$427</definedName>
    <definedName name="_____________MDE22">[1]Peralatan!$BO$447</definedName>
    <definedName name="_____________MDE23">[1]Peralatan!$BO$467</definedName>
    <definedName name="_____________MDE24">[1]Peralatan!$BO$487</definedName>
    <definedName name="_____________MDE25">[2]Peralatan!$BO$507</definedName>
    <definedName name="_____________MDE26">[1]Peralatan!$BO$527</definedName>
    <definedName name="_____________MDE27">[1]Peralatan!$BO$547</definedName>
    <definedName name="_____________MDE28">[1]Peralatan!$BO$567</definedName>
    <definedName name="_____________MDE29">[1]Peralatan!$BO$587</definedName>
    <definedName name="_____________MDE30">[1]Peralatan!$BO$607</definedName>
    <definedName name="_____________MDE31">[1]Peralatan!$BO$627</definedName>
    <definedName name="_____________MDE32">[1]Peralatan!$BO$647</definedName>
    <definedName name="_____________MDE33">[1]Peralatan!$BO$667</definedName>
    <definedName name="_____________MDE34">[1]Peralatan!$BO$698</definedName>
    <definedName name="_____________ME01">[1]Peralatan!$BO$26</definedName>
    <definedName name="_____________ME02">[1]Peralatan!$BO$46</definedName>
    <definedName name="_____________ME03">[1]Peralatan!$BO$66</definedName>
    <definedName name="_____________ME04">[1]Peralatan!$BO$86</definedName>
    <definedName name="_____________ME05">[1]Peralatan!$BO$106</definedName>
    <definedName name="_____________ME06">[1]Peralatan!$BO$126</definedName>
    <definedName name="_____________ME07">[1]Peralatan!$BO$146</definedName>
    <definedName name="_____________ME08">[1]Peralatan!$BO$166</definedName>
    <definedName name="_____________ME09">[2]Peralatan!$BO$186</definedName>
    <definedName name="_____________ME10">[2]Peralatan!$BO$206</definedName>
    <definedName name="_____________ME11">[2]Peralatan!$BO$226</definedName>
    <definedName name="_____________ME12">[1]Peralatan!$BO$246</definedName>
    <definedName name="_____________ME13">[1]Peralatan!$BO$266</definedName>
    <definedName name="_____________ME14">[1]Peralatan!$BO$286</definedName>
    <definedName name="_____________ME15">[1]Peralatan!$BO$306</definedName>
    <definedName name="_____________ME16">[1]Peralatan!$BO$326</definedName>
    <definedName name="_____________ME17">[1]Peralatan!$BO$346</definedName>
    <definedName name="_____________ME18">[1]Peralatan!$BO$366</definedName>
    <definedName name="_____________ME19">[1]Peralatan!$BO$386</definedName>
    <definedName name="_____________ME20">[1]Peralatan!$BO$406</definedName>
    <definedName name="_____________ME21">[1]Peralatan!$BO$426</definedName>
    <definedName name="_____________ME22">[1]Peralatan!$BO$446</definedName>
    <definedName name="_____________ME23">[1]Peralatan!$BO$466</definedName>
    <definedName name="_____________ME24">[1]Peralatan!$BO$486</definedName>
    <definedName name="_____________ME25">[2]Peralatan!$BO$506</definedName>
    <definedName name="_____________ME26">[1]Peralatan!$BO$526</definedName>
    <definedName name="_____________ME27">[1]Peralatan!$BO$546</definedName>
    <definedName name="_____________ME28">[1]Peralatan!$BO$566</definedName>
    <definedName name="_____________ME29">[1]Peralatan!$BO$586</definedName>
    <definedName name="_____________ME30">[1]Peralatan!$BO$606</definedName>
    <definedName name="_____________ME31">[1]Peralatan!$BO$626</definedName>
    <definedName name="_____________ME32">[1]Peralatan!$BO$646</definedName>
    <definedName name="_____________ME33">[1]Peralatan!$BO$666</definedName>
    <definedName name="_____________ME34">[1]Peralatan!$BO$697</definedName>
    <definedName name="____________LLL01">#REF!</definedName>
    <definedName name="____________LLL02">#REF!</definedName>
    <definedName name="____________LLL03">#REF!</definedName>
    <definedName name="____________LLL04">#REF!</definedName>
    <definedName name="____________LLL05">#REF!</definedName>
    <definedName name="____________LLL06">#REF!</definedName>
    <definedName name="____________LLL07">#REF!</definedName>
    <definedName name="____________LLL08">#REF!</definedName>
    <definedName name="____________LLL09">#REF!</definedName>
    <definedName name="____________LLL10">#REF!</definedName>
    <definedName name="____________LLL11">#REF!</definedName>
    <definedName name="____________MDE01">[2]Peralatan!$BO$27</definedName>
    <definedName name="____________MDE02">[2]Peralatan!$BO$47</definedName>
    <definedName name="____________MDE03">[2]Peralatan!$BO$67</definedName>
    <definedName name="____________MDE04">[2]Peralatan!$BO$87</definedName>
    <definedName name="____________MDE05">[2]Peralatan!$BO$107</definedName>
    <definedName name="____________MDE06">[2]Peralatan!$BO$127</definedName>
    <definedName name="____________MDE07">[2]Peralatan!$BO$147</definedName>
    <definedName name="____________MDE08">[2]Peralatan!$BO$167</definedName>
    <definedName name="____________MDE09">[2]Peralatan!$BO$187</definedName>
    <definedName name="____________MDE10">[2]Peralatan!$BO$207</definedName>
    <definedName name="____________MDE11">[2]Peralatan!$BO$227</definedName>
    <definedName name="____________MDE12">[1]Peralatan!$BO$247</definedName>
    <definedName name="____________MDE13">[2]Peralatan!$BO$267</definedName>
    <definedName name="____________MDE14">[2]Peralatan!$BO$287</definedName>
    <definedName name="____________MDE15">[2]Peralatan!$BO$307</definedName>
    <definedName name="____________MDE16">[2]Peralatan!$BO$327</definedName>
    <definedName name="____________MDE17">[2]Peralatan!$BO$347</definedName>
    <definedName name="____________MDE18">[2]Peralatan!$BO$367</definedName>
    <definedName name="____________MDE19">[2]Peralatan!$BO$387</definedName>
    <definedName name="____________MDE20">[2]Peralatan!$BO$407</definedName>
    <definedName name="____________MDE21">[2]Peralatan!$BO$427</definedName>
    <definedName name="____________MDE22">[2]Peralatan!$BO$447</definedName>
    <definedName name="____________MDE23">[2]Peralatan!$BO$467</definedName>
    <definedName name="____________MDE24">[2]Peralatan!$BO$487</definedName>
    <definedName name="____________MDE25">[2]Peralatan!$BO$507</definedName>
    <definedName name="____________MDE26">[1]Peralatan!$BO$527</definedName>
    <definedName name="____________MDE27">[2]Peralatan!$BO$547</definedName>
    <definedName name="____________MDE28">[2]Peralatan!$BO$567</definedName>
    <definedName name="____________MDE29">[2]Peralatan!$BO$587</definedName>
    <definedName name="____________MDE30">[2]Peralatan!$BO$607</definedName>
    <definedName name="____________MDE31">[2]Peralatan!$BO$627</definedName>
    <definedName name="____________MDE32">[2]Peralatan!$BO$647</definedName>
    <definedName name="____________MDE33">[2]Peralatan!$BO$667</definedName>
    <definedName name="____________MDE34">[2]Peralatan!$BO$698</definedName>
    <definedName name="____________MDE35">'[1]Peralatan (2)'!$R$27</definedName>
    <definedName name="____________ME01">[2]Peralatan!$BO$26</definedName>
    <definedName name="____________ME02">[2]Peralatan!$BO$46</definedName>
    <definedName name="____________ME03">[2]Peralatan!$BO$66</definedName>
    <definedName name="____________ME04">[2]Peralatan!$BO$86</definedName>
    <definedName name="____________ME05">[2]Peralatan!$BO$106</definedName>
    <definedName name="____________ME06">[2]Peralatan!$BO$126</definedName>
    <definedName name="____________ME07">[2]Peralatan!$BO$146</definedName>
    <definedName name="____________ME08">[2]Peralatan!$BO$166</definedName>
    <definedName name="____________ME09">[2]Peralatan!$BO$186</definedName>
    <definedName name="____________ME10">[2]Peralatan!$BO$206</definedName>
    <definedName name="____________ME11">[2]Peralatan!$BO$226</definedName>
    <definedName name="____________ME12">[1]Peralatan!$BO$246</definedName>
    <definedName name="____________ME13">[2]Peralatan!$BO$266</definedName>
    <definedName name="____________ME14">[2]Peralatan!$BO$286</definedName>
    <definedName name="____________ME15">[2]Peralatan!$BO$306</definedName>
    <definedName name="____________ME16">[2]Peralatan!$BO$326</definedName>
    <definedName name="____________ME17">[2]Peralatan!$BO$346</definedName>
    <definedName name="____________ME18">[2]Peralatan!$BO$366</definedName>
    <definedName name="____________ME19">[2]Peralatan!$BO$386</definedName>
    <definedName name="____________ME20">[2]Peralatan!$BO$406</definedName>
    <definedName name="____________ME21">[2]Peralatan!$BO$426</definedName>
    <definedName name="____________ME22">[2]Peralatan!$BO$446</definedName>
    <definedName name="____________ME23">[2]Peralatan!$BO$466</definedName>
    <definedName name="____________ME24">[2]Peralatan!$BO$486</definedName>
    <definedName name="____________ME25">[2]Peralatan!$BO$506</definedName>
    <definedName name="____________ME26">[1]Peralatan!$BO$526</definedName>
    <definedName name="____________ME27">[2]Peralatan!$BO$546</definedName>
    <definedName name="____________ME28">[2]Peralatan!$BO$566</definedName>
    <definedName name="____________ME29">[2]Peralatan!$BO$586</definedName>
    <definedName name="____________ME30">[2]Peralatan!$BO$606</definedName>
    <definedName name="____________ME31">[2]Peralatan!$BO$626</definedName>
    <definedName name="____________ME32">[2]Peralatan!$BO$646</definedName>
    <definedName name="____________ME33">[2]Peralatan!$BO$666</definedName>
    <definedName name="____________ME34">[2]Peralatan!$BO$697</definedName>
    <definedName name="____________ME35">'[1]Peralatan (2)'!$R$26</definedName>
    <definedName name="____________MMM01">#REF!</definedName>
    <definedName name="____________MMM02">#REF!</definedName>
    <definedName name="____________MMM03">#REF!</definedName>
    <definedName name="____________MMM04">#REF!</definedName>
    <definedName name="____________MMM05">#REF!</definedName>
    <definedName name="____________MMM06">#REF!</definedName>
    <definedName name="____________MMM07">#REF!</definedName>
    <definedName name="____________MMM08">#REF!</definedName>
    <definedName name="____________MMM09">#REF!</definedName>
    <definedName name="____________MMM10">#REF!</definedName>
    <definedName name="____________MMM11">#REF!</definedName>
    <definedName name="____________MMM12">#REF!</definedName>
    <definedName name="____________MMM13">#REF!</definedName>
    <definedName name="____________MMM14">#REF!</definedName>
    <definedName name="____________MMM15">#REF!</definedName>
    <definedName name="____________MMM16">#REF!</definedName>
    <definedName name="____________MMM17">#REF!</definedName>
    <definedName name="____________MMM18">#REF!</definedName>
    <definedName name="____________MMM19">#REF!</definedName>
    <definedName name="____________MMM20">#REF!</definedName>
    <definedName name="____________MMM21">#REF!</definedName>
    <definedName name="____________MMM22">#REF!</definedName>
    <definedName name="____________MMM23">#REF!</definedName>
    <definedName name="____________MMM24">#REF!</definedName>
    <definedName name="____________MMM25">#REF!</definedName>
    <definedName name="____________MMM26">#REF!</definedName>
    <definedName name="____________MMM27">#REF!</definedName>
    <definedName name="____________MMM28">#REF!</definedName>
    <definedName name="____________MMM29">#REF!</definedName>
    <definedName name="____________MMM30">#REF!</definedName>
    <definedName name="____________MMM31">#REF!</definedName>
    <definedName name="____________MMM32">#REF!</definedName>
    <definedName name="____________MMM33">#REF!</definedName>
    <definedName name="____________MMM34">#REF!</definedName>
    <definedName name="____________MMM35">#REF!</definedName>
    <definedName name="____________MMM36">#REF!</definedName>
    <definedName name="____________MMM37">#REF!</definedName>
    <definedName name="____________MMM38">#REF!</definedName>
    <definedName name="____________MMM39">#REF!</definedName>
    <definedName name="____________MMM40">#REF!</definedName>
    <definedName name="____________MMM41">#REF!</definedName>
    <definedName name="____________MMM411">#REF!</definedName>
    <definedName name="____________MMM42">#REF!</definedName>
    <definedName name="____________MMM43">#REF!</definedName>
    <definedName name="____________MMM44">#REF!</definedName>
    <definedName name="____________MMM45">#REF!</definedName>
    <definedName name="____________MMM46">#REF!</definedName>
    <definedName name="____________MMM47">#REF!</definedName>
    <definedName name="____________MMM48">#REF!</definedName>
    <definedName name="____________MMM49">#REF!</definedName>
    <definedName name="____________MMM50">#REF!</definedName>
    <definedName name="____________MMM51">#REF!</definedName>
    <definedName name="____________MMM52">#REF!</definedName>
    <definedName name="____________MMM53">#REF!</definedName>
    <definedName name="____________MMM54">#REF!</definedName>
    <definedName name="___________LLL01">#REF!</definedName>
    <definedName name="___________LLL02">#REF!</definedName>
    <definedName name="___________LLL03">#REF!</definedName>
    <definedName name="___________LLL04">#REF!</definedName>
    <definedName name="___________LLL05">#REF!</definedName>
    <definedName name="___________LLL06">#REF!</definedName>
    <definedName name="___________LLL07">#REF!</definedName>
    <definedName name="___________LLL08">#REF!</definedName>
    <definedName name="___________LLL09">#REF!</definedName>
    <definedName name="___________LLL10">#REF!</definedName>
    <definedName name="___________LLL11">#REF!</definedName>
    <definedName name="___________MDE01">[2]Peralatan!$BO$27</definedName>
    <definedName name="___________MDE02">[2]Peralatan!$BO$47</definedName>
    <definedName name="___________MDE03">[2]Peralatan!$BO$67</definedName>
    <definedName name="___________MDE04">[2]Peralatan!$BO$87</definedName>
    <definedName name="___________MDE05">[2]Peralatan!$BO$107</definedName>
    <definedName name="___________MDE06">[2]Peralatan!$BO$127</definedName>
    <definedName name="___________MDE07">[2]Peralatan!$BO$147</definedName>
    <definedName name="___________MDE08">[2]Peralatan!$BO$167</definedName>
    <definedName name="___________MDE09">[2]Peralatan!$BO$187</definedName>
    <definedName name="___________MDE10">[2]Peralatan!$BO$207</definedName>
    <definedName name="___________MDE11">[2]Peralatan!$BO$227</definedName>
    <definedName name="___________MDE12">[2]Peralatan!$BO$247</definedName>
    <definedName name="___________MDE13">[2]Peralatan!$BO$267</definedName>
    <definedName name="___________MDE14">[2]Peralatan!$BO$287</definedName>
    <definedName name="___________MDE15">[2]Peralatan!$BO$307</definedName>
    <definedName name="___________MDE16">[2]Peralatan!$BO$327</definedName>
    <definedName name="___________MDE17">[2]Peralatan!$BO$347</definedName>
    <definedName name="___________MDE18">[2]Peralatan!$BO$367</definedName>
    <definedName name="___________MDE19">[2]Peralatan!$BO$387</definedName>
    <definedName name="___________MDE20">[2]Peralatan!$BO$407</definedName>
    <definedName name="___________MDE21">[2]Peralatan!$BO$427</definedName>
    <definedName name="___________MDE22">[2]Peralatan!$BO$447</definedName>
    <definedName name="___________MDE23">[2]Peralatan!$BO$467</definedName>
    <definedName name="___________MDE24">[2]Peralatan!$BO$487</definedName>
    <definedName name="___________MDE25">[2]Peralatan!$BO$507</definedName>
    <definedName name="___________MDE26">[2]Peralatan!$BO$527</definedName>
    <definedName name="___________MDE27">[2]Peralatan!$BO$547</definedName>
    <definedName name="___________MDE28">[2]Peralatan!$BO$567</definedName>
    <definedName name="___________MDE29">[2]Peralatan!$BO$587</definedName>
    <definedName name="___________MDE30">[2]Peralatan!$BO$607</definedName>
    <definedName name="___________MDE31">[2]Peralatan!$BO$627</definedName>
    <definedName name="___________MDE32">[2]Peralatan!$BO$647</definedName>
    <definedName name="___________MDE33">[2]Peralatan!$BO$667</definedName>
    <definedName name="___________MDE34">[2]Peralatan!$BO$698</definedName>
    <definedName name="___________MDE35">'[1]Peralatan (2)'!$R$27</definedName>
    <definedName name="___________ME01">[2]Peralatan!$BO$26</definedName>
    <definedName name="___________ME02">[2]Peralatan!$BO$46</definedName>
    <definedName name="___________ME03">[2]Peralatan!$BO$66</definedName>
    <definedName name="___________ME04">[2]Peralatan!$BO$86</definedName>
    <definedName name="___________ME05">[2]Peralatan!$BO$106</definedName>
    <definedName name="___________ME06">[2]Peralatan!$BO$126</definedName>
    <definedName name="___________ME07">[2]Peralatan!$BO$146</definedName>
    <definedName name="___________ME08">[2]Peralatan!$BO$166</definedName>
    <definedName name="___________ME09">[2]Peralatan!$BO$186</definedName>
    <definedName name="___________ME10">[2]Peralatan!$BO$206</definedName>
    <definedName name="___________ME11">[2]Peralatan!$BO$226</definedName>
    <definedName name="___________ME12">[2]Peralatan!$BO$246</definedName>
    <definedName name="___________ME13">[2]Peralatan!$BO$266</definedName>
    <definedName name="___________ME14">[2]Peralatan!$BO$286</definedName>
    <definedName name="___________ME15">[2]Peralatan!$BO$306</definedName>
    <definedName name="___________ME16">[2]Peralatan!$BO$326</definedName>
    <definedName name="___________ME17">[2]Peralatan!$BO$346</definedName>
    <definedName name="___________ME18">[2]Peralatan!$BO$366</definedName>
    <definedName name="___________ME19">[2]Peralatan!$BO$386</definedName>
    <definedName name="___________ME20">[2]Peralatan!$BO$406</definedName>
    <definedName name="___________ME21">[2]Peralatan!$BO$426</definedName>
    <definedName name="___________ME22">[2]Peralatan!$BO$446</definedName>
    <definedName name="___________ME23">[2]Peralatan!$BO$466</definedName>
    <definedName name="___________ME24">[2]Peralatan!$BO$486</definedName>
    <definedName name="___________ME25">[2]Peralatan!$BO$506</definedName>
    <definedName name="___________ME26">[2]Peralatan!$BO$526</definedName>
    <definedName name="___________ME27">[2]Peralatan!$BO$546</definedName>
    <definedName name="___________ME28">[2]Peralatan!$BO$566</definedName>
    <definedName name="___________ME29">[2]Peralatan!$BO$586</definedName>
    <definedName name="___________ME30">[2]Peralatan!$BO$606</definedName>
    <definedName name="___________ME31">[2]Peralatan!$BO$626</definedName>
    <definedName name="___________ME32">[2]Peralatan!$BO$646</definedName>
    <definedName name="___________ME33">[2]Peralatan!$BO$666</definedName>
    <definedName name="___________ME34">[2]Peralatan!$BO$697</definedName>
    <definedName name="___________ME35">'[1]Peralatan (2)'!$R$26</definedName>
    <definedName name="___________MMM01">#REF!</definedName>
    <definedName name="___________MMM02">#REF!</definedName>
    <definedName name="___________MMM03">#REF!</definedName>
    <definedName name="___________MMM04">#REF!</definedName>
    <definedName name="___________MMM05">#REF!</definedName>
    <definedName name="___________MMM06">#REF!</definedName>
    <definedName name="___________MMM07">#REF!</definedName>
    <definedName name="___________MMM08">#REF!</definedName>
    <definedName name="___________MMM09">#REF!</definedName>
    <definedName name="___________MMM10">#REF!</definedName>
    <definedName name="___________MMM11">#REF!</definedName>
    <definedName name="___________MMM12">#REF!</definedName>
    <definedName name="___________MMM13">#REF!</definedName>
    <definedName name="___________MMM14">#REF!</definedName>
    <definedName name="___________MMM15">#REF!</definedName>
    <definedName name="___________MMM16">#REF!</definedName>
    <definedName name="___________MMM17">#REF!</definedName>
    <definedName name="___________MMM18">#REF!</definedName>
    <definedName name="___________MMM19">#REF!</definedName>
    <definedName name="___________MMM20">#REF!</definedName>
    <definedName name="___________MMM21">#REF!</definedName>
    <definedName name="___________MMM22">#REF!</definedName>
    <definedName name="___________MMM23">#REF!</definedName>
    <definedName name="___________MMM24">#REF!</definedName>
    <definedName name="___________MMM25">#REF!</definedName>
    <definedName name="___________MMM26">#REF!</definedName>
    <definedName name="___________MMM27">#REF!</definedName>
    <definedName name="___________MMM28">#REF!</definedName>
    <definedName name="___________MMM29">#REF!</definedName>
    <definedName name="___________MMM30">#REF!</definedName>
    <definedName name="___________MMM31">#REF!</definedName>
    <definedName name="___________MMM32">#REF!</definedName>
    <definedName name="___________MMM33">#REF!</definedName>
    <definedName name="___________MMM34">#REF!</definedName>
    <definedName name="___________MMM35">#REF!</definedName>
    <definedName name="___________MMM36">#REF!</definedName>
    <definedName name="___________MMM37">#REF!</definedName>
    <definedName name="___________MMM38">#REF!</definedName>
    <definedName name="___________MMM39">#REF!</definedName>
    <definedName name="___________MMM40">#REF!</definedName>
    <definedName name="___________MMM41">#REF!</definedName>
    <definedName name="___________MMM411">#REF!</definedName>
    <definedName name="___________MMM42">#REF!</definedName>
    <definedName name="___________MMM43">#REF!</definedName>
    <definedName name="___________MMM44">#REF!</definedName>
    <definedName name="___________MMM45">#REF!</definedName>
    <definedName name="___________MMM46">#REF!</definedName>
    <definedName name="___________MMM47">#REF!</definedName>
    <definedName name="___________MMM48">#REF!</definedName>
    <definedName name="___________MMM49">#REF!</definedName>
    <definedName name="___________MMM50">#REF!</definedName>
    <definedName name="___________MMM51">#REF!</definedName>
    <definedName name="___________MMM52">#REF!</definedName>
    <definedName name="___________MMM53">#REF!</definedName>
    <definedName name="___________MMM54">#REF!</definedName>
    <definedName name="__________LLL01">#REF!</definedName>
    <definedName name="__________LLL02">#REF!</definedName>
    <definedName name="__________LLL03">#REF!</definedName>
    <definedName name="__________LLL04">#REF!</definedName>
    <definedName name="__________LLL05">#REF!</definedName>
    <definedName name="__________LLL06">#REF!</definedName>
    <definedName name="__________LLL07">#REF!</definedName>
    <definedName name="__________LLL08">#REF!</definedName>
    <definedName name="__________LLL09">#REF!</definedName>
    <definedName name="__________LLL10">#REF!</definedName>
    <definedName name="__________LLL11">#REF!</definedName>
    <definedName name="__________MDE01">[2]Peralatan!$BO$27</definedName>
    <definedName name="__________MDE02">[2]Peralatan!$BO$47</definedName>
    <definedName name="__________MDE03">[2]Peralatan!$BO$67</definedName>
    <definedName name="__________MDE04">[2]Peralatan!$BO$87</definedName>
    <definedName name="__________MDE05">[2]Peralatan!$BO$107</definedName>
    <definedName name="__________MDE06">[2]Peralatan!$BO$127</definedName>
    <definedName name="__________MDE07">[2]Peralatan!$BO$147</definedName>
    <definedName name="__________MDE08">[2]Peralatan!$BO$167</definedName>
    <definedName name="__________MDE09">[3]Peralatan!$BO$187</definedName>
    <definedName name="__________MDE10">[3]Peralatan!$BO$207</definedName>
    <definedName name="__________MDE11">[3]Peralatan!$BO$227</definedName>
    <definedName name="__________MDE12">[2]Peralatan!$BO$247</definedName>
    <definedName name="__________MDE13">[2]Peralatan!$BO$267</definedName>
    <definedName name="__________MDE14">[2]Peralatan!$BO$287</definedName>
    <definedName name="__________MDE15">[2]Peralatan!$BO$307</definedName>
    <definedName name="__________MDE16">[2]Peralatan!$BO$327</definedName>
    <definedName name="__________MDE17">[2]Peralatan!$BO$347</definedName>
    <definedName name="__________MDE18">[2]Peralatan!$BO$367</definedName>
    <definedName name="__________MDE19">[2]Peralatan!$BO$387</definedName>
    <definedName name="__________MDE20">[2]Peralatan!$BO$407</definedName>
    <definedName name="__________MDE21">[2]Peralatan!$BO$427</definedName>
    <definedName name="__________MDE22">[2]Peralatan!$BO$447</definedName>
    <definedName name="__________MDE23">[2]Peralatan!$BO$467</definedName>
    <definedName name="__________MDE24">[2]Peralatan!$BO$487</definedName>
    <definedName name="__________MDE25">[3]Peralatan!$BO$507</definedName>
    <definedName name="__________MDE26">[2]Peralatan!$BO$527</definedName>
    <definedName name="__________MDE27">[2]Peralatan!$BO$547</definedName>
    <definedName name="__________MDE28">[2]Peralatan!$BO$567</definedName>
    <definedName name="__________MDE29">[2]Peralatan!$BO$587</definedName>
    <definedName name="__________MDE30">[2]Peralatan!$BO$607</definedName>
    <definedName name="__________MDE31">[2]Peralatan!$BO$627</definedName>
    <definedName name="__________MDE32">[2]Peralatan!$BO$647</definedName>
    <definedName name="__________MDE33">[2]Peralatan!$BO$667</definedName>
    <definedName name="__________MDE34">[2]Peralatan!$BO$698</definedName>
    <definedName name="__________MDE35">'[1]Peralatan (2)'!$R$27</definedName>
    <definedName name="__________ME01">[2]Peralatan!$BO$26</definedName>
    <definedName name="__________ME02">[2]Peralatan!$BO$46</definedName>
    <definedName name="__________ME03">[2]Peralatan!$BO$66</definedName>
    <definedName name="__________ME04">[2]Peralatan!$BO$86</definedName>
    <definedName name="__________ME05">[2]Peralatan!$BO$106</definedName>
    <definedName name="__________ME06">[2]Peralatan!$BO$126</definedName>
    <definedName name="__________ME07">[2]Peralatan!$BO$146</definedName>
    <definedName name="__________ME08">[2]Peralatan!$BO$166</definedName>
    <definedName name="__________ME09">[3]Peralatan!$BO$186</definedName>
    <definedName name="__________ME10">[3]Peralatan!$BO$206</definedName>
    <definedName name="__________ME11">[3]Peralatan!$BO$226</definedName>
    <definedName name="__________ME12">[2]Peralatan!$BO$246</definedName>
    <definedName name="__________ME13">[2]Peralatan!$BO$266</definedName>
    <definedName name="__________ME14">[2]Peralatan!$BO$286</definedName>
    <definedName name="__________ME15">[2]Peralatan!$BO$306</definedName>
    <definedName name="__________ME16">[2]Peralatan!$BO$326</definedName>
    <definedName name="__________ME17">[2]Peralatan!$BO$346</definedName>
    <definedName name="__________ME18">[2]Peralatan!$BO$366</definedName>
    <definedName name="__________ME19">[2]Peralatan!$BO$386</definedName>
    <definedName name="__________ME20">[2]Peralatan!$BO$406</definedName>
    <definedName name="__________ME21">[2]Peralatan!$BO$426</definedName>
    <definedName name="__________ME22">[2]Peralatan!$BO$446</definedName>
    <definedName name="__________ME23">[2]Peralatan!$BO$466</definedName>
    <definedName name="__________ME24">[2]Peralatan!$BO$486</definedName>
    <definedName name="__________ME25">[3]Peralatan!$BO$506</definedName>
    <definedName name="__________ME26">[2]Peralatan!$BO$526</definedName>
    <definedName name="__________ME27">[2]Peralatan!$BO$546</definedName>
    <definedName name="__________ME28">[2]Peralatan!$BO$566</definedName>
    <definedName name="__________ME29">[2]Peralatan!$BO$586</definedName>
    <definedName name="__________ME30">[2]Peralatan!$BO$606</definedName>
    <definedName name="__________ME31">[2]Peralatan!$BO$626</definedName>
    <definedName name="__________ME32">[2]Peralatan!$BO$646</definedName>
    <definedName name="__________ME33">[2]Peralatan!$BO$666</definedName>
    <definedName name="__________ME34">[2]Peralatan!$BO$697</definedName>
    <definedName name="__________ME35">'[1]Peralatan (2)'!$R$26</definedName>
    <definedName name="__________MMM01">#REF!</definedName>
    <definedName name="__________MMM02">#REF!</definedName>
    <definedName name="__________MMM03">#REF!</definedName>
    <definedName name="__________MMM04">#REF!</definedName>
    <definedName name="__________MMM05">#REF!</definedName>
    <definedName name="__________MMM06">#REF!</definedName>
    <definedName name="__________MMM07">#REF!</definedName>
    <definedName name="__________MMM08">#REF!</definedName>
    <definedName name="__________MMM09">#REF!</definedName>
    <definedName name="__________MMM10">#REF!</definedName>
    <definedName name="__________MMM11">#REF!</definedName>
    <definedName name="__________MMM12">#REF!</definedName>
    <definedName name="__________MMM13">#REF!</definedName>
    <definedName name="__________MMM14">#REF!</definedName>
    <definedName name="__________MMM15">#REF!</definedName>
    <definedName name="__________MMM16">#REF!</definedName>
    <definedName name="__________MMM17">#REF!</definedName>
    <definedName name="__________MMM18">#REF!</definedName>
    <definedName name="__________MMM19">#REF!</definedName>
    <definedName name="__________MMM20">#REF!</definedName>
    <definedName name="__________MMM21">#REF!</definedName>
    <definedName name="__________MMM22">#REF!</definedName>
    <definedName name="__________MMM23">#REF!</definedName>
    <definedName name="__________MMM24">#REF!</definedName>
    <definedName name="__________MMM25">#REF!</definedName>
    <definedName name="__________MMM26">#REF!</definedName>
    <definedName name="__________MMM27">#REF!</definedName>
    <definedName name="__________MMM28">#REF!</definedName>
    <definedName name="__________MMM29">#REF!</definedName>
    <definedName name="__________MMM30">#REF!</definedName>
    <definedName name="__________MMM31">#REF!</definedName>
    <definedName name="__________MMM32">#REF!</definedName>
    <definedName name="__________MMM33">#REF!</definedName>
    <definedName name="__________MMM34">#REF!</definedName>
    <definedName name="__________MMM35">#REF!</definedName>
    <definedName name="__________MMM36">#REF!</definedName>
    <definedName name="__________MMM37">#REF!</definedName>
    <definedName name="__________MMM38">#REF!</definedName>
    <definedName name="__________MMM39">#REF!</definedName>
    <definedName name="__________MMM40">#REF!</definedName>
    <definedName name="__________MMM41">#REF!</definedName>
    <definedName name="__________MMM411">#REF!</definedName>
    <definedName name="__________MMM42">#REF!</definedName>
    <definedName name="__________MMM43">#REF!</definedName>
    <definedName name="__________MMM44">#REF!</definedName>
    <definedName name="__________MMM45">#REF!</definedName>
    <definedName name="__________MMM46">#REF!</definedName>
    <definedName name="__________MMM47">#REF!</definedName>
    <definedName name="__________MMM48">#REF!</definedName>
    <definedName name="__________MMM49">#REF!</definedName>
    <definedName name="__________MMM50">#REF!</definedName>
    <definedName name="__________MMM51">#REF!</definedName>
    <definedName name="__________MMM52">#REF!</definedName>
    <definedName name="__________MMM53">#REF!</definedName>
    <definedName name="__________MMM54">#REF!</definedName>
    <definedName name="_________LLL01">#REF!</definedName>
    <definedName name="_________LLL02">#REF!</definedName>
    <definedName name="_________LLL03">#REF!</definedName>
    <definedName name="_________LLL04">#REF!</definedName>
    <definedName name="_________LLL05">#REF!</definedName>
    <definedName name="_________LLL06">#REF!</definedName>
    <definedName name="_________LLL07">#REF!</definedName>
    <definedName name="_________LLL08">#REF!</definedName>
    <definedName name="_________LLL09">#REF!</definedName>
    <definedName name="_________LLL10">#REF!</definedName>
    <definedName name="_________LLL11">#REF!</definedName>
    <definedName name="_________MDE01">[2]Peralatan!$BO$27</definedName>
    <definedName name="_________MDE02">[2]Peralatan!$BO$47</definedName>
    <definedName name="_________MDE03">[2]Peralatan!$BO$67</definedName>
    <definedName name="_________MDE04">[2]Peralatan!$BO$87</definedName>
    <definedName name="_________MDE05">[2]Peralatan!$BO$107</definedName>
    <definedName name="_________MDE06">[2]Peralatan!$BO$127</definedName>
    <definedName name="_________MDE07">[2]Peralatan!$BO$147</definedName>
    <definedName name="_________MDE08">[2]Peralatan!$BO$167</definedName>
    <definedName name="_________MDE09">'[4]AN. ALAT'!#REF!</definedName>
    <definedName name="_________MDE10">'[4]AN. ALAT'!#REF!</definedName>
    <definedName name="_________MDE11">'[4]AN. ALAT'!#REF!</definedName>
    <definedName name="_________MDE12">[2]Peralatan!$BO$247</definedName>
    <definedName name="_________MDE13">[2]Peralatan!$BO$267</definedName>
    <definedName name="_________MDE14">[2]Peralatan!$BO$287</definedName>
    <definedName name="_________MDE15">[2]Peralatan!$BO$307</definedName>
    <definedName name="_________MDE16">[2]Peralatan!$BO$327</definedName>
    <definedName name="_________MDE17">[2]Peralatan!$BO$347</definedName>
    <definedName name="_________MDE18">[2]Peralatan!$BO$367</definedName>
    <definedName name="_________MDE19">[2]Peralatan!$BO$387</definedName>
    <definedName name="_________MDE20">[2]Peralatan!$BO$407</definedName>
    <definedName name="_________MDE21">[2]Peralatan!$BO$427</definedName>
    <definedName name="_________MDE22">[2]Peralatan!$BO$447</definedName>
    <definedName name="_________MDE23">[2]Peralatan!$BO$467</definedName>
    <definedName name="_________MDE24">[2]Peralatan!$BO$487</definedName>
    <definedName name="_________MDE25">'[4]AN. ALAT'!#REF!</definedName>
    <definedName name="_________MDE26">[2]Peralatan!$BO$527</definedName>
    <definedName name="_________MDE27">[2]Peralatan!$BO$547</definedName>
    <definedName name="_________MDE28">[2]Peralatan!$BO$567</definedName>
    <definedName name="_________MDE29">[2]Peralatan!$BO$587</definedName>
    <definedName name="_________MDE30">[2]Peralatan!$BO$607</definedName>
    <definedName name="_________MDE31">[2]Peralatan!$BO$627</definedName>
    <definedName name="_________MDE32">[2]Peralatan!$BO$647</definedName>
    <definedName name="_________MDE33">[2]Peralatan!$BO$667</definedName>
    <definedName name="_________MDE34">[2]Peralatan!$BO$698</definedName>
    <definedName name="_________MDE35">'[1]Peralatan (2)'!$R$27</definedName>
    <definedName name="_________ME01">[2]Peralatan!$BO$26</definedName>
    <definedName name="_________ME02">[2]Peralatan!$BO$46</definedName>
    <definedName name="_________ME03">[2]Peralatan!$BO$66</definedName>
    <definedName name="_________ME04">[2]Peralatan!$BO$86</definedName>
    <definedName name="_________ME05">[2]Peralatan!$BO$106</definedName>
    <definedName name="_________ME06">[2]Peralatan!$BO$126</definedName>
    <definedName name="_________ME07">[2]Peralatan!$BO$146</definedName>
    <definedName name="_________ME08">[2]Peralatan!$BO$166</definedName>
    <definedName name="_________ME09">'[4]AN. ALAT'!#REF!</definedName>
    <definedName name="_________ME10">'[4]AN. ALAT'!#REF!</definedName>
    <definedName name="_________ME11">'[4]AN. ALAT'!#REF!</definedName>
    <definedName name="_________ME12">[2]Peralatan!$BO$246</definedName>
    <definedName name="_________ME13">[2]Peralatan!$BO$266</definedName>
    <definedName name="_________ME14">[2]Peralatan!$BO$286</definedName>
    <definedName name="_________ME15">[2]Peralatan!$BO$306</definedName>
    <definedName name="_________ME16">[2]Peralatan!$BO$326</definedName>
    <definedName name="_________ME17">[2]Peralatan!$BO$346</definedName>
    <definedName name="_________ME18">[2]Peralatan!$BO$366</definedName>
    <definedName name="_________ME19">[2]Peralatan!$BO$386</definedName>
    <definedName name="_________ME20">[2]Peralatan!$BO$406</definedName>
    <definedName name="_________ME21">[2]Peralatan!$BO$426</definedName>
    <definedName name="_________ME22">[2]Peralatan!$BO$446</definedName>
    <definedName name="_________ME23">[2]Peralatan!$BO$466</definedName>
    <definedName name="_________ME24">[2]Peralatan!$BO$486</definedName>
    <definedName name="_________ME25">'[4]AN. ALAT'!#REF!</definedName>
    <definedName name="_________ME26">[2]Peralatan!$BO$526</definedName>
    <definedName name="_________ME27">[2]Peralatan!$BO$546</definedName>
    <definedName name="_________ME28">[2]Peralatan!$BO$566</definedName>
    <definedName name="_________ME29">[2]Peralatan!$BO$586</definedName>
    <definedName name="_________ME30">[2]Peralatan!$BO$606</definedName>
    <definedName name="_________ME31">[2]Peralatan!$BO$626</definedName>
    <definedName name="_________ME32">[2]Peralatan!$BO$646</definedName>
    <definedName name="_________ME33">[2]Peralatan!$BO$666</definedName>
    <definedName name="_________ME34">[2]Peralatan!$BO$697</definedName>
    <definedName name="_________ME35">'[1]Peralatan (2)'!$R$26</definedName>
    <definedName name="_________MMM01">#REF!</definedName>
    <definedName name="_________MMM02">#REF!</definedName>
    <definedName name="_________MMM03">#REF!</definedName>
    <definedName name="_________MMM04">#REF!</definedName>
    <definedName name="_________MMM05">#REF!</definedName>
    <definedName name="_________MMM06">#REF!</definedName>
    <definedName name="_________MMM07">#REF!</definedName>
    <definedName name="_________MMM08">#REF!</definedName>
    <definedName name="_________MMM09">#REF!</definedName>
    <definedName name="_________MMM10">#REF!</definedName>
    <definedName name="_________MMM11">#REF!</definedName>
    <definedName name="_________MMM12">#REF!</definedName>
    <definedName name="_________MMM13">#REF!</definedName>
    <definedName name="_________MMM14">#REF!</definedName>
    <definedName name="_________MMM15">#REF!</definedName>
    <definedName name="_________MMM16">#REF!</definedName>
    <definedName name="_________MMM17">#REF!</definedName>
    <definedName name="_________MMM18">#REF!</definedName>
    <definedName name="_________MMM19">#REF!</definedName>
    <definedName name="_________MMM20">#REF!</definedName>
    <definedName name="_________MMM21">#REF!</definedName>
    <definedName name="_________MMM22">#REF!</definedName>
    <definedName name="_________MMM23">#REF!</definedName>
    <definedName name="_________MMM24">#REF!</definedName>
    <definedName name="_________MMM25">#REF!</definedName>
    <definedName name="_________MMM26">#REF!</definedName>
    <definedName name="_________MMM27">#REF!</definedName>
    <definedName name="_________MMM28">#REF!</definedName>
    <definedName name="_________MMM29">#REF!</definedName>
    <definedName name="_________MMM30">#REF!</definedName>
    <definedName name="_________MMM31">#REF!</definedName>
    <definedName name="_________MMM32">#REF!</definedName>
    <definedName name="_________MMM33">#REF!</definedName>
    <definedName name="_________MMM34">#REF!</definedName>
    <definedName name="_________MMM35">#REF!</definedName>
    <definedName name="_________MMM36">#REF!</definedName>
    <definedName name="_________MMM37">#REF!</definedName>
    <definedName name="_________MMM38">#REF!</definedName>
    <definedName name="_________MMM39">#REF!</definedName>
    <definedName name="_________MMM40">#REF!</definedName>
    <definedName name="_________MMM41">#REF!</definedName>
    <definedName name="_________MMM411">#REF!</definedName>
    <definedName name="_________MMM42">#REF!</definedName>
    <definedName name="_________MMM43">#REF!</definedName>
    <definedName name="_________MMM44">#REF!</definedName>
    <definedName name="_________MMM45">#REF!</definedName>
    <definedName name="_________MMM46">#REF!</definedName>
    <definedName name="_________MMM47">#REF!</definedName>
    <definedName name="_________MMM48">#REF!</definedName>
    <definedName name="_________MMM49">#REF!</definedName>
    <definedName name="_________MMM50">#REF!</definedName>
    <definedName name="_________MMM51">#REF!</definedName>
    <definedName name="_________MMM52">#REF!</definedName>
    <definedName name="_________MMM53">#REF!</definedName>
    <definedName name="_________MMM54">#REF!</definedName>
    <definedName name="________LLL01">#REF!</definedName>
    <definedName name="________LLL02">#REF!</definedName>
    <definedName name="________LLL03">#REF!</definedName>
    <definedName name="________LLL04">#REF!</definedName>
    <definedName name="________LLL05">#REF!</definedName>
    <definedName name="________LLL06">#REF!</definedName>
    <definedName name="________LLL07">#REF!</definedName>
    <definedName name="________LLL08">#REF!</definedName>
    <definedName name="________LLL09">#REF!</definedName>
    <definedName name="________LLL10">#REF!</definedName>
    <definedName name="________LLL11">#REF!</definedName>
    <definedName name="________MDE01">[2]Peralatan!$BO$27</definedName>
    <definedName name="________MDE02">[3]Peralatan!$BO$47</definedName>
    <definedName name="________MDE03">[3]Peralatan!$BO$67</definedName>
    <definedName name="________MDE04">[3]Peralatan!$BO$87</definedName>
    <definedName name="________MDE05">[3]Peralatan!$BO$107</definedName>
    <definedName name="________MDE06">[3]Peralatan!$BO$127</definedName>
    <definedName name="________MDE07">[3]Peralatan!$BO$147</definedName>
    <definedName name="________MDE08">[3]Peralatan!$BO$167</definedName>
    <definedName name="________MDE09">[2]Peralatan!$BO$187</definedName>
    <definedName name="________MDE10">[2]Peralatan!$BO$207</definedName>
    <definedName name="________MDE11">[2]Peralatan!$BO$227</definedName>
    <definedName name="________MDE12">[2]Peralatan!$BO$247</definedName>
    <definedName name="________MDE13">[3]Peralatan!$BO$267</definedName>
    <definedName name="________MDE14">[3]Peralatan!$BO$287</definedName>
    <definedName name="________MDE15">[3]Peralatan!$BO$307</definedName>
    <definedName name="________MDE16">[3]Peralatan!$BO$327</definedName>
    <definedName name="________MDE17">[3]Peralatan!$BO$347</definedName>
    <definedName name="________MDE18">[3]Peralatan!$BO$367</definedName>
    <definedName name="________MDE19">[3]Peralatan!$BO$387</definedName>
    <definedName name="________MDE20">[3]Peralatan!$BO$407</definedName>
    <definedName name="________MDE21">[3]Peralatan!$BO$427</definedName>
    <definedName name="________MDE22">[3]Peralatan!$BO$447</definedName>
    <definedName name="________MDE23">[3]Peralatan!$BO$467</definedName>
    <definedName name="________MDE24">[3]Peralatan!$BO$487</definedName>
    <definedName name="________MDE25">[2]Peralatan!$BO$507</definedName>
    <definedName name="________MDE26">[1]Peralatan!$BO$527</definedName>
    <definedName name="________MDE27">[3]Peralatan!$BO$547</definedName>
    <definedName name="________MDE28">[3]Peralatan!$BO$567</definedName>
    <definedName name="________MDE29">[3]Peralatan!$BO$587</definedName>
    <definedName name="________MDE30">[3]Peralatan!$BO$607</definedName>
    <definedName name="________MDE31">[3]Peralatan!$BO$627</definedName>
    <definedName name="________MDE32">[3]Peralatan!$BO$647</definedName>
    <definedName name="________MDE33">[3]Peralatan!$BO$667</definedName>
    <definedName name="________MDE34">[3]Peralatan!$BO$698</definedName>
    <definedName name="________MDE35">'[1]Peralatan (2)'!$R$27</definedName>
    <definedName name="________ME01">[3]Peralatan!$BO$26</definedName>
    <definedName name="________ME02">[3]Peralatan!$BO$46</definedName>
    <definedName name="________ME03">[3]Peralatan!$BO$66</definedName>
    <definedName name="________ME04">[3]Peralatan!$BO$86</definedName>
    <definedName name="________ME05">[3]Peralatan!$BO$106</definedName>
    <definedName name="________ME06">[3]Peralatan!$BO$126</definedName>
    <definedName name="________ME07">[3]Peralatan!$BO$146</definedName>
    <definedName name="________ME08">[3]Peralatan!$BO$166</definedName>
    <definedName name="________ME09">[2]Peralatan!$BO$186</definedName>
    <definedName name="________ME10">[2]Peralatan!$BO$206</definedName>
    <definedName name="________ME11">[2]Peralatan!$BO$226</definedName>
    <definedName name="________ME12">[2]Peralatan!$BO$246</definedName>
    <definedName name="________ME13">[3]Peralatan!$BO$266</definedName>
    <definedName name="________ME14">[3]Peralatan!$BO$286</definedName>
    <definedName name="________ME15">[3]Peralatan!$BO$306</definedName>
    <definedName name="________ME16">[3]Peralatan!$BO$326</definedName>
    <definedName name="________ME17">[3]Peralatan!$BO$346</definedName>
    <definedName name="________ME18">[3]Peralatan!$BO$366</definedName>
    <definedName name="________ME19">[3]Peralatan!$BO$386</definedName>
    <definedName name="________ME20">[3]Peralatan!$BO$406</definedName>
    <definedName name="________ME21">[3]Peralatan!$BO$426</definedName>
    <definedName name="________ME22">[3]Peralatan!$BO$446</definedName>
    <definedName name="________ME23">[3]Peralatan!$BO$466</definedName>
    <definedName name="________ME24">[3]Peralatan!$BO$486</definedName>
    <definedName name="________ME25">[2]Peralatan!$BO$506</definedName>
    <definedName name="________ME26">[1]Peralatan!$BO$526</definedName>
    <definedName name="________ME27">[3]Peralatan!$BO$546</definedName>
    <definedName name="________ME28">[3]Peralatan!$BO$566</definedName>
    <definedName name="________ME29">[3]Peralatan!$BO$586</definedName>
    <definedName name="________ME30">[3]Peralatan!$BO$606</definedName>
    <definedName name="________ME31">[3]Peralatan!$BO$626</definedName>
    <definedName name="________ME32">[3]Peralatan!$BO$646</definedName>
    <definedName name="________ME33">[3]Peralatan!$BO$666</definedName>
    <definedName name="________ME34">[3]Peralatan!$BO$697</definedName>
    <definedName name="________ME35">'[1]Peralatan (2)'!$R$26</definedName>
    <definedName name="________MMM01">#REF!</definedName>
    <definedName name="________MMM02">#REF!</definedName>
    <definedName name="________MMM03">#REF!</definedName>
    <definedName name="________MMM04">#REF!</definedName>
    <definedName name="________MMM05">#REF!</definedName>
    <definedName name="________MMM06">#REF!</definedName>
    <definedName name="________MMM07">#REF!</definedName>
    <definedName name="________MMM08">#REF!</definedName>
    <definedName name="________MMM09">#REF!</definedName>
    <definedName name="________MMM10">#REF!</definedName>
    <definedName name="________MMM11">#REF!</definedName>
    <definedName name="________MMM12">#REF!</definedName>
    <definedName name="________MMM13">#REF!</definedName>
    <definedName name="________MMM14">#REF!</definedName>
    <definedName name="________MMM15">#REF!</definedName>
    <definedName name="________MMM16">#REF!</definedName>
    <definedName name="________MMM17">#REF!</definedName>
    <definedName name="________MMM18">#REF!</definedName>
    <definedName name="________MMM19">#REF!</definedName>
    <definedName name="________MMM20">#REF!</definedName>
    <definedName name="________MMM21">#REF!</definedName>
    <definedName name="________MMM22">#REF!</definedName>
    <definedName name="________MMM23">#REF!</definedName>
    <definedName name="________MMM24">#REF!</definedName>
    <definedName name="________MMM25">#REF!</definedName>
    <definedName name="________MMM26">#REF!</definedName>
    <definedName name="________MMM27">#REF!</definedName>
    <definedName name="________MMM28">#REF!</definedName>
    <definedName name="________MMM29">#REF!</definedName>
    <definedName name="________MMM30">#REF!</definedName>
    <definedName name="________MMM31">#REF!</definedName>
    <definedName name="________MMM32">#REF!</definedName>
    <definedName name="________MMM33">#REF!</definedName>
    <definedName name="________MMM34">#REF!</definedName>
    <definedName name="________MMM35">#REF!</definedName>
    <definedName name="________MMM36">#REF!</definedName>
    <definedName name="________MMM37">#REF!</definedName>
    <definedName name="________MMM38">#REF!</definedName>
    <definedName name="________MMM39">#REF!</definedName>
    <definedName name="________MMM40">#REF!</definedName>
    <definedName name="________MMM41">#REF!</definedName>
    <definedName name="________MMM411">#REF!</definedName>
    <definedName name="________MMM42">#REF!</definedName>
    <definedName name="________MMM43">#REF!</definedName>
    <definedName name="________MMM44">#REF!</definedName>
    <definedName name="________MMM45">#REF!</definedName>
    <definedName name="________MMM46">#REF!</definedName>
    <definedName name="________MMM47">#REF!</definedName>
    <definedName name="________MMM48">#REF!</definedName>
    <definedName name="________MMM49">#REF!</definedName>
    <definedName name="________MMM50">#REF!</definedName>
    <definedName name="________MMM51">#REF!</definedName>
    <definedName name="________MMM52">#REF!</definedName>
    <definedName name="________MMM53">#REF!</definedName>
    <definedName name="________MMM54">#REF!</definedName>
    <definedName name="________xlnm.Print_Area">"#ref!"</definedName>
    <definedName name="_______LLL01">#REF!</definedName>
    <definedName name="_______LLL02">#REF!</definedName>
    <definedName name="_______LLL03">#REF!</definedName>
    <definedName name="_______LLL04">#REF!</definedName>
    <definedName name="_______LLL05">#REF!</definedName>
    <definedName name="_______LLL06">#REF!</definedName>
    <definedName name="_______LLL07">#REF!</definedName>
    <definedName name="_______LLL08">#REF!</definedName>
    <definedName name="_______LLL09">#REF!</definedName>
    <definedName name="_______LLL10">#REF!</definedName>
    <definedName name="_______LLL11">#REF!</definedName>
    <definedName name="_______MDE01">[3]Peralatan!$BO$27</definedName>
    <definedName name="_______MDE02">[5]Peralatan!$BO$47</definedName>
    <definedName name="_______MDE03">[5]Peralatan!$BO$67</definedName>
    <definedName name="_______MDE04">[5]Peralatan!$BO$87</definedName>
    <definedName name="_______MDE05">[5]Peralatan!$BO$107</definedName>
    <definedName name="_______MDE06">[5]Peralatan!$BO$127</definedName>
    <definedName name="_______MDE07">[5]Peralatan!$BO$147</definedName>
    <definedName name="_______MDE08">[5]Peralatan!$BO$167</definedName>
    <definedName name="_______MDE09">'[4]AN. ALAT'!#REF!</definedName>
    <definedName name="_______MDE10">'[4]AN. ALAT'!#REF!</definedName>
    <definedName name="_______MDE11">'[4]AN. ALAT'!#REF!</definedName>
    <definedName name="_______MDE12">[5]Peralatan!$BO$247</definedName>
    <definedName name="_______MDE13">[5]Peralatan!$BO$267</definedName>
    <definedName name="_______MDE14">[5]Peralatan!$BO$287</definedName>
    <definedName name="_______MDE15">[5]Peralatan!$BO$307</definedName>
    <definedName name="_______MDE16">[5]Peralatan!$BO$327</definedName>
    <definedName name="_______MDE17">[5]Peralatan!$BO$347</definedName>
    <definedName name="_______MDE18">[5]Peralatan!$BO$367</definedName>
    <definedName name="_______MDE19">[5]Peralatan!$BO$387</definedName>
    <definedName name="_______MDE20">[5]Peralatan!$BO$407</definedName>
    <definedName name="_______MDE21">[5]Peralatan!$BO$427</definedName>
    <definedName name="_______MDE22">[5]Peralatan!$BO$447</definedName>
    <definedName name="_______MDE23">[5]Peralatan!$BO$467</definedName>
    <definedName name="_______MDE24">[5]Peralatan!$BO$487</definedName>
    <definedName name="_______MDE25">'[4]AN. ALAT'!#REF!</definedName>
    <definedName name="_______MDE26">[1]Peralatan!$BO$527</definedName>
    <definedName name="_______MDE27">[5]Peralatan!$BO$547</definedName>
    <definedName name="_______MDE28">[5]Peralatan!$BO$567</definedName>
    <definedName name="_______MDE29">[5]Peralatan!$BO$587</definedName>
    <definedName name="_______MDE30">[5]Peralatan!$BO$607</definedName>
    <definedName name="_______MDE31">[5]Peralatan!$BO$627</definedName>
    <definedName name="_______MDE32">[5]Peralatan!$BO$647</definedName>
    <definedName name="_______MDE33">[5]Peralatan!$BO$667</definedName>
    <definedName name="_______MDE34">[5]Peralatan!$BO$698</definedName>
    <definedName name="_______MDE35">'[1]Peralatan (2)'!$R$27</definedName>
    <definedName name="_______ME01">[5]Peralatan!$BO$26</definedName>
    <definedName name="_______ME02">[5]Peralatan!$BO$46</definedName>
    <definedName name="_______ME03">[5]Peralatan!$BO$66</definedName>
    <definedName name="_______ME04">[5]Peralatan!$BO$86</definedName>
    <definedName name="_______ME05">[5]Peralatan!$BO$106</definedName>
    <definedName name="_______ME06">[5]Peralatan!$BO$126</definedName>
    <definedName name="_______ME07">[5]Peralatan!$BO$146</definedName>
    <definedName name="_______ME08">[5]Peralatan!$BO$166</definedName>
    <definedName name="_______ME09">'[4]AN. ALAT'!#REF!</definedName>
    <definedName name="_______ME10">'[4]AN. ALAT'!#REF!</definedName>
    <definedName name="_______ME11">'[4]AN. ALAT'!#REF!</definedName>
    <definedName name="_______ME12">[5]Peralatan!$BO$246</definedName>
    <definedName name="_______ME13">[5]Peralatan!$BO$266</definedName>
    <definedName name="_______ME14">[5]Peralatan!$BO$286</definedName>
    <definedName name="_______ME15">[5]Peralatan!$BO$306</definedName>
    <definedName name="_______ME16">[5]Peralatan!$BO$326</definedName>
    <definedName name="_______ME17">[5]Peralatan!$BO$346</definedName>
    <definedName name="_______ME18">[5]Peralatan!$BO$366</definedName>
    <definedName name="_______ME19">[5]Peralatan!$BO$386</definedName>
    <definedName name="_______ME20">[5]Peralatan!$BO$406</definedName>
    <definedName name="_______ME21">[5]Peralatan!$BO$426</definedName>
    <definedName name="_______ME22">[5]Peralatan!$BO$446</definedName>
    <definedName name="_______ME23">[5]Peralatan!$BO$466</definedName>
    <definedName name="_______ME24">[5]Peralatan!$BO$486</definedName>
    <definedName name="_______ME25">'[4]AN. ALAT'!#REF!</definedName>
    <definedName name="_______ME26">[1]Peralatan!$BO$526</definedName>
    <definedName name="_______ME27">[5]Peralatan!$BO$546</definedName>
    <definedName name="_______ME28">[5]Peralatan!$BO$566</definedName>
    <definedName name="_______ME29">[5]Peralatan!$BO$586</definedName>
    <definedName name="_______ME30">[5]Peralatan!$BO$606</definedName>
    <definedName name="_______ME31">[5]Peralatan!$BO$626</definedName>
    <definedName name="_______ME32">[5]Peralatan!$BO$646</definedName>
    <definedName name="_______ME33">[5]Peralatan!$BO$666</definedName>
    <definedName name="_______ME34">[5]Peralatan!$BO$697</definedName>
    <definedName name="_______ME35">'[1]Peralatan (2)'!$R$26</definedName>
    <definedName name="_______MMM01">#REF!</definedName>
    <definedName name="_______MMM02">#REF!</definedName>
    <definedName name="_______MMM03">#REF!</definedName>
    <definedName name="_______MMM04">#REF!</definedName>
    <definedName name="_______MMM05">#REF!</definedName>
    <definedName name="_______MMM06">#REF!</definedName>
    <definedName name="_______MMM07">#REF!</definedName>
    <definedName name="_______MMM08">#REF!</definedName>
    <definedName name="_______MMM09">#REF!</definedName>
    <definedName name="_______MMM10">#REF!</definedName>
    <definedName name="_______MMM11">#REF!</definedName>
    <definedName name="_______MMM12">#REF!</definedName>
    <definedName name="_______MMM13">#REF!</definedName>
    <definedName name="_______MMM14">#REF!</definedName>
    <definedName name="_______MMM15">#REF!</definedName>
    <definedName name="_______MMM16">#REF!</definedName>
    <definedName name="_______MMM17">#REF!</definedName>
    <definedName name="_______MMM18">#REF!</definedName>
    <definedName name="_______MMM19">#REF!</definedName>
    <definedName name="_______MMM20">#REF!</definedName>
    <definedName name="_______MMM21">#REF!</definedName>
    <definedName name="_______MMM22">#REF!</definedName>
    <definedName name="_______MMM23">#REF!</definedName>
    <definedName name="_______MMM24">#REF!</definedName>
    <definedName name="_______MMM25">#REF!</definedName>
    <definedName name="_______MMM26">#REF!</definedName>
    <definedName name="_______MMM27">#REF!</definedName>
    <definedName name="_______MMM28">#REF!</definedName>
    <definedName name="_______MMM29">#REF!</definedName>
    <definedName name="_______MMM30">#REF!</definedName>
    <definedName name="_______MMM31">#REF!</definedName>
    <definedName name="_______MMM32">#REF!</definedName>
    <definedName name="_______MMM33">#REF!</definedName>
    <definedName name="_______MMM34">#REF!</definedName>
    <definedName name="_______MMM35">#REF!</definedName>
    <definedName name="_______MMM36">#REF!</definedName>
    <definedName name="_______MMM37">#REF!</definedName>
    <definedName name="_______MMM38">#REF!</definedName>
    <definedName name="_______MMM39">#REF!</definedName>
    <definedName name="_______MMM40">#REF!</definedName>
    <definedName name="_______MMM41">#REF!</definedName>
    <definedName name="_______MMM411">#REF!</definedName>
    <definedName name="_______MMM42">#REF!</definedName>
    <definedName name="_______MMM43">#REF!</definedName>
    <definedName name="_______MMM44">#REF!</definedName>
    <definedName name="_______MMM45">#REF!</definedName>
    <definedName name="_______MMM46">#REF!</definedName>
    <definedName name="_______MMM47">#REF!</definedName>
    <definedName name="_______MMM48">#REF!</definedName>
    <definedName name="_______MMM49">#REF!</definedName>
    <definedName name="_______MMM50">#REF!</definedName>
    <definedName name="_______MMM51">#REF!</definedName>
    <definedName name="_______MMM52">#REF!</definedName>
    <definedName name="_______MMM53">#REF!</definedName>
    <definedName name="_______MMM54">#REF!</definedName>
    <definedName name="______HAL2">[4]Mobilisasi!#REF!</definedName>
    <definedName name="______LLL01">#REF!</definedName>
    <definedName name="______LLL02">#REF!</definedName>
    <definedName name="______LLL03">#REF!</definedName>
    <definedName name="______LLL04">#REF!</definedName>
    <definedName name="______LLL05">#REF!</definedName>
    <definedName name="______LLL06">#REF!</definedName>
    <definedName name="______LLL07">#REF!</definedName>
    <definedName name="______LLL08">#REF!</definedName>
    <definedName name="______LLL09">#REF!</definedName>
    <definedName name="______LLL10">#REF!</definedName>
    <definedName name="______LLL11">#REF!</definedName>
    <definedName name="______MDE01">[5]Peralatan!$BO$27</definedName>
    <definedName name="______MDE02">[5]Peralatan!$BO$47</definedName>
    <definedName name="______MDE03">[5]Peralatan!$BO$67</definedName>
    <definedName name="______MDE04">[5]Peralatan!$BO$87</definedName>
    <definedName name="______MDE05">[5]Peralatan!$BO$107</definedName>
    <definedName name="______MDE06">[5]Peralatan!$BO$127</definedName>
    <definedName name="______MDE07">[5]Peralatan!$BO$147</definedName>
    <definedName name="______MDE08">[5]Peralatan!$BO$167</definedName>
    <definedName name="______MDE09">[2]Peralatan!$BO$187</definedName>
    <definedName name="______MDE10">[2]Peralatan!$BO$207</definedName>
    <definedName name="______MDE11">[2]Peralatan!$BO$227</definedName>
    <definedName name="______MDE12">[5]Peralatan!$BO$247</definedName>
    <definedName name="______MDE13">[5]Peralatan!$BO$267</definedName>
    <definedName name="______MDE14">[5]Peralatan!$BO$287</definedName>
    <definedName name="______MDE15">[5]Peralatan!$BO$307</definedName>
    <definedName name="______MDE16">[5]Peralatan!$BO$327</definedName>
    <definedName name="______MDE17">[5]Peralatan!$BO$347</definedName>
    <definedName name="______MDE18">[5]Peralatan!$BO$367</definedName>
    <definedName name="______MDE19">[5]Peralatan!$BO$387</definedName>
    <definedName name="______MDE20">[5]Peralatan!$BO$407</definedName>
    <definedName name="______MDE21">[5]Peralatan!$BO$427</definedName>
    <definedName name="______MDE22">[5]Peralatan!$BO$447</definedName>
    <definedName name="______MDE23">[5]Peralatan!$BO$467</definedName>
    <definedName name="______MDE24">[5]Peralatan!$BO$487</definedName>
    <definedName name="______MDE25">[2]Peralatan!$BO$507</definedName>
    <definedName name="______MDE26">[1]Peralatan!$BO$527</definedName>
    <definedName name="______MDE27">[5]Peralatan!$BO$547</definedName>
    <definedName name="______MDE28">[5]Peralatan!$BO$567</definedName>
    <definedName name="______MDE29">[5]Peralatan!$BO$587</definedName>
    <definedName name="______MDE30">[5]Peralatan!$BO$607</definedName>
    <definedName name="______MDE31">[5]Peralatan!$BO$627</definedName>
    <definedName name="______MDE32">[5]Peralatan!$BO$647</definedName>
    <definedName name="______MDE33">[5]Peralatan!$BO$667</definedName>
    <definedName name="______MDE34">[5]Peralatan!$BO$698</definedName>
    <definedName name="______MDE35">'[1]Peralatan (2)'!$R$27</definedName>
    <definedName name="______ME01">[5]Peralatan!$BO$26</definedName>
    <definedName name="______ME02">[5]Peralatan!$BO$46</definedName>
    <definedName name="______ME03">[5]Peralatan!$BO$66</definedName>
    <definedName name="______ME04">[5]Peralatan!$BO$86</definedName>
    <definedName name="______ME05">[5]Peralatan!$BO$106</definedName>
    <definedName name="______ME06">[5]Peralatan!$BO$126</definedName>
    <definedName name="______ME07">[5]Peralatan!$BO$146</definedName>
    <definedName name="______ME08">[5]Peralatan!$BO$166</definedName>
    <definedName name="______ME09">[2]Peralatan!$BO$186</definedName>
    <definedName name="______ME10">[2]Peralatan!$BO$206</definedName>
    <definedName name="______ME11">[2]Peralatan!$BO$226</definedName>
    <definedName name="______ME12">[5]Peralatan!$BO$246</definedName>
    <definedName name="______ME13">[5]Peralatan!$BO$266</definedName>
    <definedName name="______ME14">[5]Peralatan!$BO$286</definedName>
    <definedName name="______ME15">[5]Peralatan!$BO$306</definedName>
    <definedName name="______ME16">[5]Peralatan!$BO$326</definedName>
    <definedName name="______ME17">[5]Peralatan!$BO$346</definedName>
    <definedName name="______ME18">[5]Peralatan!$BO$366</definedName>
    <definedName name="______ME19">[5]Peralatan!$BO$386</definedName>
    <definedName name="______ME20">[5]Peralatan!$BO$406</definedName>
    <definedName name="______ME21">[5]Peralatan!$BO$426</definedName>
    <definedName name="______ME22">[5]Peralatan!$BO$446</definedName>
    <definedName name="______ME23">[5]Peralatan!$BO$466</definedName>
    <definedName name="______ME24">[5]Peralatan!$BO$486</definedName>
    <definedName name="______ME25">[2]Peralatan!$BO$506</definedName>
    <definedName name="______ME26">[1]Peralatan!$BO$526</definedName>
    <definedName name="______ME27">[5]Peralatan!$BO$546</definedName>
    <definedName name="______ME28">[5]Peralatan!$BO$566</definedName>
    <definedName name="______ME29">[5]Peralatan!$BO$586</definedName>
    <definedName name="______ME30">[5]Peralatan!$BO$606</definedName>
    <definedName name="______ME31">[5]Peralatan!$BO$626</definedName>
    <definedName name="______ME32">[5]Peralatan!$BO$646</definedName>
    <definedName name="______ME33">[5]Peralatan!$BO$666</definedName>
    <definedName name="______ME34">[5]Peralatan!$BO$697</definedName>
    <definedName name="______ME35">'[1]Peralatan (2)'!$R$26</definedName>
    <definedName name="______MMM01">#REF!</definedName>
    <definedName name="______MMM02">#REF!</definedName>
    <definedName name="______MMM03">#REF!</definedName>
    <definedName name="______MMM04">#REF!</definedName>
    <definedName name="______MMM05">#REF!</definedName>
    <definedName name="______MMM06">#REF!</definedName>
    <definedName name="______MMM07">#REF!</definedName>
    <definedName name="______MMM08">#REF!</definedName>
    <definedName name="______MMM09">#REF!</definedName>
    <definedName name="______MMM10">#REF!</definedName>
    <definedName name="______MMM11">#REF!</definedName>
    <definedName name="______MMM12">#REF!</definedName>
    <definedName name="______MMM13">#REF!</definedName>
    <definedName name="______MMM14">#REF!</definedName>
    <definedName name="______MMM15">#REF!</definedName>
    <definedName name="______MMM16">#REF!</definedName>
    <definedName name="______MMM17">#REF!</definedName>
    <definedName name="______MMM18">#REF!</definedName>
    <definedName name="______MMM19">#REF!</definedName>
    <definedName name="______MMM20">#REF!</definedName>
    <definedName name="______MMM21">#REF!</definedName>
    <definedName name="______MMM22">#REF!</definedName>
    <definedName name="______MMM23">#REF!</definedName>
    <definedName name="______MMM24">#REF!</definedName>
    <definedName name="______MMM25">#REF!</definedName>
    <definedName name="______MMM26">#REF!</definedName>
    <definedName name="______MMM27">#REF!</definedName>
    <definedName name="______MMM28">#REF!</definedName>
    <definedName name="______MMM29">#REF!</definedName>
    <definedName name="______MMM30">#REF!</definedName>
    <definedName name="______MMM31">#REF!</definedName>
    <definedName name="______MMM32">#REF!</definedName>
    <definedName name="______MMM33">#REF!</definedName>
    <definedName name="______MMM34">#REF!</definedName>
    <definedName name="______MMM35">#REF!</definedName>
    <definedName name="______MMM36">#REF!</definedName>
    <definedName name="______MMM37">#REF!</definedName>
    <definedName name="______MMM38">#REF!</definedName>
    <definedName name="______MMM39">#REF!</definedName>
    <definedName name="______MMM40">#REF!</definedName>
    <definedName name="______MMM41">#REF!</definedName>
    <definedName name="______MMM411">#REF!</definedName>
    <definedName name="______MMM42">#REF!</definedName>
    <definedName name="______MMM43">#REF!</definedName>
    <definedName name="______MMM44">#REF!</definedName>
    <definedName name="______MMM45">#REF!</definedName>
    <definedName name="______MMM46">#REF!</definedName>
    <definedName name="______MMM47">#REF!</definedName>
    <definedName name="______MMM48">#REF!</definedName>
    <definedName name="______MMM49">#REF!</definedName>
    <definedName name="______MMM50">#REF!</definedName>
    <definedName name="______MMM51">#REF!</definedName>
    <definedName name="______MMM52">#REF!</definedName>
    <definedName name="______MMM53">#REF!</definedName>
    <definedName name="______MMM54">#REF!</definedName>
    <definedName name="______xlnm.Print_Area">"#ref!"</definedName>
    <definedName name="_____LLL01">#REF!</definedName>
    <definedName name="_____LLL02">#REF!</definedName>
    <definedName name="_____LLL03">#REF!</definedName>
    <definedName name="_____LLL04">#REF!</definedName>
    <definedName name="_____LLL05">#REF!</definedName>
    <definedName name="_____LLL06">#REF!</definedName>
    <definedName name="_____LLL07">#REF!</definedName>
    <definedName name="_____LLL08">#REF!</definedName>
    <definedName name="_____LLL09">#REF!</definedName>
    <definedName name="_____LLL10">#REF!</definedName>
    <definedName name="_____LLL11">#REF!</definedName>
    <definedName name="_____MDE01">[1]Peralatan!$BO$27</definedName>
    <definedName name="_____MDE02">[1]Peralatan!$BO$47</definedName>
    <definedName name="_____MDE03">[1]Peralatan!$BO$67</definedName>
    <definedName name="_____MDE04">[1]Peralatan!$BO$87</definedName>
    <definedName name="_____MDE05">[1]Peralatan!$BO$107</definedName>
    <definedName name="_____MDE06">[1]Peralatan!$BO$127</definedName>
    <definedName name="_____MDE07">[1]Peralatan!$BO$147</definedName>
    <definedName name="_____MDE08">[1]Peralatan!$BO$167</definedName>
    <definedName name="_____MDE09">[1]Peralatan!$BO$187</definedName>
    <definedName name="_____MDE10">[1]Peralatan!$BO$207</definedName>
    <definedName name="_____MDE11">[1]Peralatan!$BO$227</definedName>
    <definedName name="_____MDE12">[1]Peralatan!$BO$247</definedName>
    <definedName name="_____MDE13">[1]Peralatan!$BO$267</definedName>
    <definedName name="_____MDE14">[1]Peralatan!$BO$287</definedName>
    <definedName name="_____MDE15">[1]Peralatan!$BO$307</definedName>
    <definedName name="_____MDE16">[1]Peralatan!$BO$327</definedName>
    <definedName name="_____MDE17">[1]Peralatan!$BO$347</definedName>
    <definedName name="_____MDE18">[1]Peralatan!$BO$367</definedName>
    <definedName name="_____MDE19">[1]Peralatan!$BO$387</definedName>
    <definedName name="_____MDE20">[1]Peralatan!$BO$407</definedName>
    <definedName name="_____MDE21">[1]Peralatan!$BO$427</definedName>
    <definedName name="_____MDE22">[1]Peralatan!$BO$447</definedName>
    <definedName name="_____MDE23">[1]Peralatan!$BO$467</definedName>
    <definedName name="_____MDE24">[1]Peralatan!$BO$487</definedName>
    <definedName name="_____MDE25">[1]Peralatan!$BO$507</definedName>
    <definedName name="_____MDE26">[1]Peralatan!$BO$527</definedName>
    <definedName name="_____MDE27">[1]Peralatan!$BO$547</definedName>
    <definedName name="_____MDE28">[1]Peralatan!$BO$567</definedName>
    <definedName name="_____MDE29">[1]Peralatan!$BO$587</definedName>
    <definedName name="_____MDE30">[1]Peralatan!$BO$607</definedName>
    <definedName name="_____MDE31">[1]Peralatan!$BO$627</definedName>
    <definedName name="_____MDE32">[1]Peralatan!$BO$647</definedName>
    <definedName name="_____MDE33">[1]Peralatan!$BO$667</definedName>
    <definedName name="_____MDE34">[1]Peralatan!$BO$698</definedName>
    <definedName name="_____MDE35">'[1]Peralatan (2)'!$R$27</definedName>
    <definedName name="_____ME01">[1]Peralatan!$BO$26</definedName>
    <definedName name="_____ME02">[1]Peralatan!$BO$46</definedName>
    <definedName name="_____ME03">[1]Peralatan!$BO$66</definedName>
    <definedName name="_____ME04">[1]Peralatan!$BO$86</definedName>
    <definedName name="_____ME05">[1]Peralatan!$BO$106</definedName>
    <definedName name="_____ME06">[1]Peralatan!$BO$126</definedName>
    <definedName name="_____ME07">[1]Peralatan!$BO$146</definedName>
    <definedName name="_____ME08">[1]Peralatan!$BO$166</definedName>
    <definedName name="_____ME09">[1]Peralatan!$BO$186</definedName>
    <definedName name="_____ME10">[1]Peralatan!$BO$206</definedName>
    <definedName name="_____ME11">[1]Peralatan!$BO$226</definedName>
    <definedName name="_____ME12">[1]Peralatan!$BO$246</definedName>
    <definedName name="_____ME13">[1]Peralatan!$BO$266</definedName>
    <definedName name="_____ME14">[1]Peralatan!$BO$286</definedName>
    <definedName name="_____ME15">[1]Peralatan!$BO$306</definedName>
    <definedName name="_____ME16">[1]Peralatan!$BO$326</definedName>
    <definedName name="_____ME17">[1]Peralatan!$BO$346</definedName>
    <definedName name="_____ME18">[1]Peralatan!$BO$366</definedName>
    <definedName name="_____ME19">[1]Peralatan!$BO$386</definedName>
    <definedName name="_____ME20">[1]Peralatan!$BO$406</definedName>
    <definedName name="_____ME21">[1]Peralatan!$BO$426</definedName>
    <definedName name="_____ME22">[1]Peralatan!$BO$446</definedName>
    <definedName name="_____ME23">[1]Peralatan!$BO$466</definedName>
    <definedName name="_____ME24">[1]Peralatan!$BO$486</definedName>
    <definedName name="_____ME25">[1]Peralatan!$BO$506</definedName>
    <definedName name="_____ME26">[1]Peralatan!$BO$526</definedName>
    <definedName name="_____ME27">[1]Peralatan!$BO$546</definedName>
    <definedName name="_____ME28">[1]Peralatan!$BO$566</definedName>
    <definedName name="_____ME29">[1]Peralatan!$BO$586</definedName>
    <definedName name="_____ME30">[1]Peralatan!$BO$606</definedName>
    <definedName name="_____ME31">[1]Peralatan!$BO$626</definedName>
    <definedName name="_____ME32">[1]Peralatan!$BO$646</definedName>
    <definedName name="_____ME33">[1]Peralatan!$BO$666</definedName>
    <definedName name="_____ME34">[1]Peralatan!$BO$697</definedName>
    <definedName name="_____ME35">'[1]Peralatan (2)'!$R$26</definedName>
    <definedName name="_____MMM01">#REF!</definedName>
    <definedName name="_____MMM02">#REF!</definedName>
    <definedName name="_____MMM03">#REF!</definedName>
    <definedName name="_____MMM04">#REF!</definedName>
    <definedName name="_____MMM05">#REF!</definedName>
    <definedName name="_____MMM06">#REF!</definedName>
    <definedName name="_____MMM07">#REF!</definedName>
    <definedName name="_____MMM08">#REF!</definedName>
    <definedName name="_____MMM09">#REF!</definedName>
    <definedName name="_____MMM10">#REF!</definedName>
    <definedName name="_____MMM11">#REF!</definedName>
    <definedName name="_____MMM12">#REF!</definedName>
    <definedName name="_____MMM13">#REF!</definedName>
    <definedName name="_____MMM14">#REF!</definedName>
    <definedName name="_____MMM15">#REF!</definedName>
    <definedName name="_____MMM16">#REF!</definedName>
    <definedName name="_____MMM17">#REF!</definedName>
    <definedName name="_____MMM18">#REF!</definedName>
    <definedName name="_____MMM19">#REF!</definedName>
    <definedName name="_____MMM20">#REF!</definedName>
    <definedName name="_____MMM21">#REF!</definedName>
    <definedName name="_____MMM22">#REF!</definedName>
    <definedName name="_____MMM23">#REF!</definedName>
    <definedName name="_____MMM24">#REF!</definedName>
    <definedName name="_____MMM25">#REF!</definedName>
    <definedName name="_____MMM26">#REF!</definedName>
    <definedName name="_____MMM27">#REF!</definedName>
    <definedName name="_____MMM28">#REF!</definedName>
    <definedName name="_____MMM29">#REF!</definedName>
    <definedName name="_____MMM30">#REF!</definedName>
    <definedName name="_____MMM31">#REF!</definedName>
    <definedName name="_____MMM32">#REF!</definedName>
    <definedName name="_____MMM33">#REF!</definedName>
    <definedName name="_____MMM34">#REF!</definedName>
    <definedName name="_____MMM35">#REF!</definedName>
    <definedName name="_____MMM36">#REF!</definedName>
    <definedName name="_____MMM37">#REF!</definedName>
    <definedName name="_____MMM38">#REF!</definedName>
    <definedName name="_____MMM39">#REF!</definedName>
    <definedName name="_____MMM40">#REF!</definedName>
    <definedName name="_____MMM41">#REF!</definedName>
    <definedName name="_____MMM411">#REF!</definedName>
    <definedName name="_____MMM42">#REF!</definedName>
    <definedName name="_____MMM43">#REF!</definedName>
    <definedName name="_____MMM44">#REF!</definedName>
    <definedName name="_____MMM45">#REF!</definedName>
    <definedName name="_____MMM46">#REF!</definedName>
    <definedName name="_____MMM47">#REF!</definedName>
    <definedName name="_____MMM48">#REF!</definedName>
    <definedName name="_____MMM49">#REF!</definedName>
    <definedName name="_____MMM50">#REF!</definedName>
    <definedName name="_____MMM51">#REF!</definedName>
    <definedName name="_____MMM52">#REF!</definedName>
    <definedName name="_____MMM53">#REF!</definedName>
    <definedName name="_____MMM54">#REF!</definedName>
    <definedName name="_____xlnm.Print_Area">"#ref!"</definedName>
    <definedName name="____DIV4" hidden="1">'[6]Div2'!$I$12:$I$20</definedName>
    <definedName name="____DIV5" hidden="1">'[6]Div2'!$H$12:$H$20</definedName>
    <definedName name="____HAL2">[4]Mobilisasi!#REF!</definedName>
    <definedName name="____LLL01">#REF!</definedName>
    <definedName name="____LLL02">#REF!</definedName>
    <definedName name="____LLL03">#REF!</definedName>
    <definedName name="____LLL04">#REF!</definedName>
    <definedName name="____LLL05">#REF!</definedName>
    <definedName name="____LLL06">#REF!</definedName>
    <definedName name="____LLL07">#REF!</definedName>
    <definedName name="____LLL08">#REF!</definedName>
    <definedName name="____LLL09">#REF!</definedName>
    <definedName name="____LLL10">#REF!</definedName>
    <definedName name="____LLL11">#REF!</definedName>
    <definedName name="____MDE01">[1]Peralatan!$BO$27</definedName>
    <definedName name="____MDE02">[1]Peralatan!$BO$47</definedName>
    <definedName name="____MDE03">[1]Peralatan!$BO$67</definedName>
    <definedName name="____MDE04">[1]Peralatan!$BO$87</definedName>
    <definedName name="____MDE05">[1]Peralatan!$BO$107</definedName>
    <definedName name="____MDE06">[1]Peralatan!$BO$127</definedName>
    <definedName name="____MDE07">[1]Peralatan!$BO$147</definedName>
    <definedName name="____MDE08">[1]Peralatan!$BO$167</definedName>
    <definedName name="____MDE09">[1]Peralatan!$BO$187</definedName>
    <definedName name="____MDE10">[1]Peralatan!$BO$207</definedName>
    <definedName name="____MDE11">[1]Peralatan!$BO$227</definedName>
    <definedName name="____MDE12">[1]Peralatan!$BO$247</definedName>
    <definedName name="____MDE13">[1]Peralatan!$BO$267</definedName>
    <definedName name="____MDE14">[1]Peralatan!$BO$287</definedName>
    <definedName name="____MDE15">[1]Peralatan!$BO$307</definedName>
    <definedName name="____MDE16">[1]Peralatan!$BO$327</definedName>
    <definedName name="____MDE17">[1]Peralatan!$BO$347</definedName>
    <definedName name="____MDE18">[1]Peralatan!$BO$367</definedName>
    <definedName name="____MDE19">[1]Peralatan!$BO$387</definedName>
    <definedName name="____MDE20">[1]Peralatan!$BO$407</definedName>
    <definedName name="____MDE21">[1]Peralatan!$BO$427</definedName>
    <definedName name="____MDE22">[1]Peralatan!$BO$447</definedName>
    <definedName name="____MDE23">[1]Peralatan!$BO$467</definedName>
    <definedName name="____MDE24">[1]Peralatan!$BO$487</definedName>
    <definedName name="____MDE25">[1]Peralatan!$BO$507</definedName>
    <definedName name="____MDE26">[1]Peralatan!$BO$527</definedName>
    <definedName name="____MDE27">[1]Peralatan!$BO$547</definedName>
    <definedName name="____MDE28">[1]Peralatan!$BO$567</definedName>
    <definedName name="____MDE29">[1]Peralatan!$BO$587</definedName>
    <definedName name="____MDE30">[1]Peralatan!$BO$607</definedName>
    <definedName name="____MDE31">[1]Peralatan!$BO$627</definedName>
    <definedName name="____MDE32">[1]Peralatan!$BO$647</definedName>
    <definedName name="____MDE33">[1]Peralatan!$BO$667</definedName>
    <definedName name="____MDE34">[1]Peralatan!$BO$698</definedName>
    <definedName name="____MDE35">'[1]Peralatan (2)'!$R$27</definedName>
    <definedName name="____ME01">[1]Peralatan!$BO$26</definedName>
    <definedName name="____ME02">[1]Peralatan!$BO$46</definedName>
    <definedName name="____ME03">[1]Peralatan!$BO$66</definedName>
    <definedName name="____ME04">[1]Peralatan!$BO$86</definedName>
    <definedName name="____ME05">[1]Peralatan!$BO$106</definedName>
    <definedName name="____ME06">[1]Peralatan!$BO$126</definedName>
    <definedName name="____ME07">[1]Peralatan!$BO$146</definedName>
    <definedName name="____ME08">[1]Peralatan!$BO$166</definedName>
    <definedName name="____ME09">[1]Peralatan!$BO$186</definedName>
    <definedName name="____ME10">[1]Peralatan!$BO$206</definedName>
    <definedName name="____ME11">[1]Peralatan!$BO$226</definedName>
    <definedName name="____ME12">[1]Peralatan!$BO$246</definedName>
    <definedName name="____ME13">[1]Peralatan!$BO$266</definedName>
    <definedName name="____ME14">[1]Peralatan!$BO$286</definedName>
    <definedName name="____ME15">[1]Peralatan!$BO$306</definedName>
    <definedName name="____ME16">[1]Peralatan!$BO$326</definedName>
    <definedName name="____ME17">[1]Peralatan!$BO$346</definedName>
    <definedName name="____ME18">[1]Peralatan!$BO$366</definedName>
    <definedName name="____ME19">[1]Peralatan!$BO$386</definedName>
    <definedName name="____ME20">[1]Peralatan!$BO$406</definedName>
    <definedName name="____ME21">[1]Peralatan!$BO$426</definedName>
    <definedName name="____ME22">[1]Peralatan!$BO$446</definedName>
    <definedName name="____ME23">[1]Peralatan!$BO$466</definedName>
    <definedName name="____ME24">[1]Peralatan!$BO$486</definedName>
    <definedName name="____ME25">[1]Peralatan!$BO$506</definedName>
    <definedName name="____ME26">[1]Peralatan!$BO$526</definedName>
    <definedName name="____ME27">[1]Peralatan!$BO$546</definedName>
    <definedName name="____ME28">[1]Peralatan!$BO$566</definedName>
    <definedName name="____ME29">[1]Peralatan!$BO$586</definedName>
    <definedName name="____ME30">[1]Peralatan!$BO$606</definedName>
    <definedName name="____ME31">[1]Peralatan!$BO$626</definedName>
    <definedName name="____ME32">[1]Peralatan!$BO$646</definedName>
    <definedName name="____ME33">[1]Peralatan!$BO$666</definedName>
    <definedName name="____ME34">[1]Peralatan!$BO$697</definedName>
    <definedName name="____ME35">'[1]Peralatan (2)'!$R$26</definedName>
    <definedName name="____MMM01">#REF!</definedName>
    <definedName name="____MMM02">#REF!</definedName>
    <definedName name="____MMM03">#REF!</definedName>
    <definedName name="____MMM04">#REF!</definedName>
    <definedName name="____MMM05">#REF!</definedName>
    <definedName name="____MMM06">#REF!</definedName>
    <definedName name="____MMM07">#REF!</definedName>
    <definedName name="____MMM08">#REF!</definedName>
    <definedName name="____MMM09">#REF!</definedName>
    <definedName name="____MMM10">#REF!</definedName>
    <definedName name="____MMM11">#REF!</definedName>
    <definedName name="____MMM12">#REF!</definedName>
    <definedName name="____MMM13">#REF!</definedName>
    <definedName name="____MMM14">#REF!</definedName>
    <definedName name="____MMM15">#REF!</definedName>
    <definedName name="____MMM16">#REF!</definedName>
    <definedName name="____MMM17">#REF!</definedName>
    <definedName name="____MMM18">#REF!</definedName>
    <definedName name="____MMM19">#REF!</definedName>
    <definedName name="____MMM20">#REF!</definedName>
    <definedName name="____MMM21">#REF!</definedName>
    <definedName name="____MMM22">#REF!</definedName>
    <definedName name="____MMM23">#REF!</definedName>
    <definedName name="____MMM24">#REF!</definedName>
    <definedName name="____MMM25">#REF!</definedName>
    <definedName name="____MMM26">#REF!</definedName>
    <definedName name="____MMM27">#REF!</definedName>
    <definedName name="____MMM28">#REF!</definedName>
    <definedName name="____MMM29">#REF!</definedName>
    <definedName name="____MMM30">#REF!</definedName>
    <definedName name="____MMM31">#REF!</definedName>
    <definedName name="____MMM32">#REF!</definedName>
    <definedName name="____MMM33">#REF!</definedName>
    <definedName name="____MMM34">#REF!</definedName>
    <definedName name="____MMM35">#REF!</definedName>
    <definedName name="____MMM36">#REF!</definedName>
    <definedName name="____MMM37">#REF!</definedName>
    <definedName name="____MMM38">#REF!</definedName>
    <definedName name="____MMM39">#REF!</definedName>
    <definedName name="____MMM40">#REF!</definedName>
    <definedName name="____MMM41">#REF!</definedName>
    <definedName name="____MMM411">#REF!</definedName>
    <definedName name="____MMM42">#REF!</definedName>
    <definedName name="____MMM43">#REF!</definedName>
    <definedName name="____MMM44">#REF!</definedName>
    <definedName name="____MMM45">#REF!</definedName>
    <definedName name="____MMM46">#REF!</definedName>
    <definedName name="____MMM47">#REF!</definedName>
    <definedName name="____MMM48">#REF!</definedName>
    <definedName name="____MMM49">#REF!</definedName>
    <definedName name="____MMM50">#REF!</definedName>
    <definedName name="____MMM51">#REF!</definedName>
    <definedName name="____MMM52">#REF!</definedName>
    <definedName name="____MMM53">#REF!</definedName>
    <definedName name="____MMM54">#REF!</definedName>
    <definedName name="____xlnm.Print_Area">"#ref!"</definedName>
    <definedName name="____xlnm_Print_Area">"#ref!"</definedName>
    <definedName name="___HAL2">[4]Mobilisasi!#REF!</definedName>
    <definedName name="___LLL01">#N/A</definedName>
    <definedName name="___LLL02">#N/A</definedName>
    <definedName name="___LLL03">#N/A</definedName>
    <definedName name="___LLL04">#N/A</definedName>
    <definedName name="___LLL05">#N/A</definedName>
    <definedName name="___LLL06">#N/A</definedName>
    <definedName name="___LLL07">#N/A</definedName>
    <definedName name="___LLL08">#N/A</definedName>
    <definedName name="___LLL09">#N/A</definedName>
    <definedName name="___LLL10">#N/A</definedName>
    <definedName name="___LLL11">#N/A</definedName>
    <definedName name="___MDE01">[1]Peralatan!$BO$27</definedName>
    <definedName name="___MDE02">[1]Peralatan!$BO$47</definedName>
    <definedName name="___MDE03">[1]Peralatan!$BO$67</definedName>
    <definedName name="___MDE04">[1]Peralatan!$BO$87</definedName>
    <definedName name="___MDE05">[1]Peralatan!$BO$107</definedName>
    <definedName name="___MDE06">[1]Peralatan!$BO$127</definedName>
    <definedName name="___MDE07">[1]Peralatan!$BO$147</definedName>
    <definedName name="___MDE08">[1]Peralatan!$BO$167</definedName>
    <definedName name="___MDE09">[1]Peralatan!$BO$187</definedName>
    <definedName name="___MDE10">[1]Peralatan!$BO$207</definedName>
    <definedName name="___MDE11">[1]Peralatan!$BO$227</definedName>
    <definedName name="___MDE12">[1]Peralatan!$BO$247</definedName>
    <definedName name="___MDE13">[1]Peralatan!$BO$267</definedName>
    <definedName name="___MDE14">[1]Peralatan!$BO$287</definedName>
    <definedName name="___MDE15">[1]Peralatan!$BO$307</definedName>
    <definedName name="___MDE16">[1]Peralatan!$BO$327</definedName>
    <definedName name="___MDE17">[1]Peralatan!$BO$347</definedName>
    <definedName name="___MDE18">[1]Peralatan!$BO$367</definedName>
    <definedName name="___MDE19">[1]Peralatan!$BO$387</definedName>
    <definedName name="___MDE20">[1]Peralatan!$BO$407</definedName>
    <definedName name="___MDE21">[1]Peralatan!$BO$427</definedName>
    <definedName name="___MDE22">[1]Peralatan!$BO$447</definedName>
    <definedName name="___MDE23">[1]Peralatan!$BO$467</definedName>
    <definedName name="___MDE24">[1]Peralatan!$BO$487</definedName>
    <definedName name="___MDE25">[1]Peralatan!$BO$507</definedName>
    <definedName name="___MDE26">#REF!</definedName>
    <definedName name="___MDE27">[1]Peralatan!$BO$547</definedName>
    <definedName name="___MDE28">[1]Peralatan!$BO$567</definedName>
    <definedName name="___MDE29">[1]Peralatan!$BO$587</definedName>
    <definedName name="___MDE30">[1]Peralatan!$BO$607</definedName>
    <definedName name="___MDE31">[1]Peralatan!$BO$627</definedName>
    <definedName name="___MDE32">[1]Peralatan!$BO$647</definedName>
    <definedName name="___MDE33">[1]Peralatan!$BO$667</definedName>
    <definedName name="___MDE34">[1]Peralatan!$BO$698</definedName>
    <definedName name="___MDE35">'[1]Peralatan (2)'!$R$27</definedName>
    <definedName name="___ME01">[1]Peralatan!$BO$26</definedName>
    <definedName name="___ME02">[1]Peralatan!$BO$46</definedName>
    <definedName name="___ME03">[1]Peralatan!$BO$66</definedName>
    <definedName name="___ME04">[1]Peralatan!$BO$86</definedName>
    <definedName name="___ME05">[1]Peralatan!$BO$106</definedName>
    <definedName name="___ME06">[1]Peralatan!$BO$126</definedName>
    <definedName name="___ME07">[1]Peralatan!$BO$146</definedName>
    <definedName name="___ME08">[1]Peralatan!$BO$166</definedName>
    <definedName name="___ME09">[1]Peralatan!$BO$186</definedName>
    <definedName name="___ME10">[1]Peralatan!$BO$206</definedName>
    <definedName name="___ME11">[1]Peralatan!$BO$226</definedName>
    <definedName name="___ME12">[1]Peralatan!$BO$246</definedName>
    <definedName name="___ME13">[1]Peralatan!$BO$266</definedName>
    <definedName name="___ME14">[1]Peralatan!$BO$286</definedName>
    <definedName name="___ME15">[1]Peralatan!$BO$306</definedName>
    <definedName name="___ME16">[1]Peralatan!$BO$326</definedName>
    <definedName name="___ME17">[1]Peralatan!$BO$346</definedName>
    <definedName name="___ME18">[1]Peralatan!$BO$366</definedName>
    <definedName name="___ME19">[1]Peralatan!$BO$386</definedName>
    <definedName name="___ME20">[1]Peralatan!$BO$406</definedName>
    <definedName name="___ME21">[1]Peralatan!$BO$426</definedName>
    <definedName name="___ME22">[1]Peralatan!$BO$446</definedName>
    <definedName name="___ME23">[1]Peralatan!$BO$466</definedName>
    <definedName name="___ME24">[1]Peralatan!$BO$486</definedName>
    <definedName name="___ME25">[1]Peralatan!$BO$506</definedName>
    <definedName name="___ME26">#REF!</definedName>
    <definedName name="___ME27">[1]Peralatan!$BO$546</definedName>
    <definedName name="___ME28">[1]Peralatan!$BO$566</definedName>
    <definedName name="___ME29">[1]Peralatan!$BO$586</definedName>
    <definedName name="___ME30">[1]Peralatan!$BO$606</definedName>
    <definedName name="___ME31">[1]Peralatan!$BO$626</definedName>
    <definedName name="___ME32">[1]Peralatan!$BO$646</definedName>
    <definedName name="___ME33">[1]Peralatan!$BO$666</definedName>
    <definedName name="___ME34">[1]Peralatan!$BO$697</definedName>
    <definedName name="___ME35">'[1]Peralatan (2)'!$R$26</definedName>
    <definedName name="___MMM01">#N/A</definedName>
    <definedName name="___MMM02">#N/A</definedName>
    <definedName name="___MMM03">#N/A</definedName>
    <definedName name="___MMM04">#N/A</definedName>
    <definedName name="___MMM05">#N/A</definedName>
    <definedName name="___MMM06">#N/A</definedName>
    <definedName name="___MMM07">#N/A</definedName>
    <definedName name="___MMM08">#N/A</definedName>
    <definedName name="___MMM09">#N/A</definedName>
    <definedName name="___MMM10">#N/A</definedName>
    <definedName name="___MMM11">#N/A</definedName>
    <definedName name="___MMM12">#N/A</definedName>
    <definedName name="___MMM13">#N/A</definedName>
    <definedName name="___MMM14">#N/A</definedName>
    <definedName name="___MMM15">#N/A</definedName>
    <definedName name="___MMM16">#N/A</definedName>
    <definedName name="___MMM17">#N/A</definedName>
    <definedName name="___MMM18">#N/A</definedName>
    <definedName name="___MMM19">#N/A</definedName>
    <definedName name="___MMM20">#N/A</definedName>
    <definedName name="___MMM21">#N/A</definedName>
    <definedName name="___MMM22">#N/A</definedName>
    <definedName name="___MMM23">#N/A</definedName>
    <definedName name="___MMM24">#N/A</definedName>
    <definedName name="___MMM25">#N/A</definedName>
    <definedName name="___MMM26">#N/A</definedName>
    <definedName name="___MMM27">#N/A</definedName>
    <definedName name="___MMM28">#N/A</definedName>
    <definedName name="___MMM29">#N/A</definedName>
    <definedName name="___MMM30">#N/A</definedName>
    <definedName name="___MMM31">#N/A</definedName>
    <definedName name="___MMM32">#N/A</definedName>
    <definedName name="___MMM33">#N/A</definedName>
    <definedName name="___MMM34">#N/A</definedName>
    <definedName name="___MMM35">#N/A</definedName>
    <definedName name="___MMM36">#N/A</definedName>
    <definedName name="___MMM37">#N/A</definedName>
    <definedName name="___MMM38">#N/A</definedName>
    <definedName name="___MMM39">#N/A</definedName>
    <definedName name="___MMM40">#N/A</definedName>
    <definedName name="___MMM41">#N/A</definedName>
    <definedName name="___MMM411">#N/A</definedName>
    <definedName name="___MMM42">#N/A</definedName>
    <definedName name="___MMM43">#N/A</definedName>
    <definedName name="___MMM44">#N/A</definedName>
    <definedName name="___MMM45">#N/A</definedName>
    <definedName name="___MMM46">#N/A</definedName>
    <definedName name="___MMM47">#N/A</definedName>
    <definedName name="___MMM48">#N/A</definedName>
    <definedName name="___MMM49">#N/A</definedName>
    <definedName name="___MMM50">#N/A</definedName>
    <definedName name="___MMM51">#N/A</definedName>
    <definedName name="___MMM52">#N/A</definedName>
    <definedName name="___MMM53">#N/A</definedName>
    <definedName name="___MMM54">#N/A</definedName>
    <definedName name="___xlnm.Print_Area">"#ref!"</definedName>
    <definedName name="__123Graph_A" hidden="1">[7]S_Suramadu!$H$72:$CD$72</definedName>
    <definedName name="__123Graph_B" hidden="1">[7]S_Suramadu!$H$74:$CD$74</definedName>
    <definedName name="__123Graph_X" hidden="1">'[8]JAD-PEL'!$L$173:$BF$173</definedName>
    <definedName name="__DIV1">[9]RAB!$J$29</definedName>
    <definedName name="__DIV10">'[10]Kuantitas &amp; Harga'!#REF!</definedName>
    <definedName name="__DIV11">'[10]Kuantitas &amp; Harga'!#REF!</definedName>
    <definedName name="__div2">'[10]Rekap Biaya'!#REF!</definedName>
    <definedName name="__DIV3">[9]RAB!$J$85</definedName>
    <definedName name="__DIV4">'[10]Kuantitas &amp; Harga'!#REF!</definedName>
    <definedName name="__DIV5">'[10]Kuantitas &amp; Harga'!#REF!</definedName>
    <definedName name="__DIV6">'[10]Kuantitas &amp; Harga'!#REF!</definedName>
    <definedName name="__DIV7">'[10]Kuantitas &amp; Harga'!#REF!</definedName>
    <definedName name="__DIV8">'[10]Kuantitas &amp; Harga'!#REF!</definedName>
    <definedName name="__DIV9">'[10]Kuantitas &amp; Harga'!#REF!</definedName>
    <definedName name="__EEE02">'[11]5-Alt(1)'!$AW$9</definedName>
    <definedName name="__EEE05">'[11]5-Alt(1)'!$AW$12</definedName>
    <definedName name="__EEE06">'[11]5-Alt(1)'!$AW$13</definedName>
    <definedName name="__EEE07">'[11]5-Alt(1)'!$AW$14</definedName>
    <definedName name="__EEE08">'[11]5-Alt(1)'!$AW$15</definedName>
    <definedName name="__EEE09">'[11]5-Alt(1)'!$AW$16</definedName>
    <definedName name="__EEE10">'[11]5-Alt(1)'!$AW$17</definedName>
    <definedName name="__EEE11">'[11]5-Alt(1)'!$AW$18</definedName>
    <definedName name="__EEE13">'[11]5-Alt(1)'!$AW$20</definedName>
    <definedName name="__EEE16">'[11]5-Alt(1)'!$AW$23</definedName>
    <definedName name="__EEE17">'[11]5-Alt(1)'!$AW$24</definedName>
    <definedName name="__EEE23">'[11]5-Alt(1)'!$AW$30</definedName>
    <definedName name="__EEE27">'[11]5-Alt(1)'!$AW$34</definedName>
    <definedName name="__EEE29">'[11]5-Alt(1)'!$AW$36</definedName>
    <definedName name="__EEE31">'[11]5-Alt(1)'!$AW$38</definedName>
    <definedName name="__HAL1">#REF!</definedName>
    <definedName name="__HAL2">'[10]Kuantitas &amp; Harga'!#REF!</definedName>
    <definedName name="__HAL3">'[10]Kuantitas &amp; Harga'!#REF!</definedName>
    <definedName name="__HAL4">'[10]Kuantitas &amp; Harga'!#REF!</definedName>
    <definedName name="__HAL5">'[10]Kuantitas &amp; Harga'!#REF!</definedName>
    <definedName name="__HAL6">'[10]Kuantitas &amp; Harga'!#REF!</definedName>
    <definedName name="__HAL7">'[10]Kuantitas &amp; Harga'!#REF!</definedName>
    <definedName name="__HAL8">'[10]Kuantitas &amp; Harga'!#REF!</definedName>
    <definedName name="__LLL01">"#ref!"</definedName>
    <definedName name="__LLL02">"#ref!"</definedName>
    <definedName name="__LLL03">"#ref!"</definedName>
    <definedName name="__LLL04">"#ref!"</definedName>
    <definedName name="__LLL05">"#ref!"</definedName>
    <definedName name="__LLL06">"#ref!"</definedName>
    <definedName name="__LLL07">"#ref!"</definedName>
    <definedName name="__LLL08">"#ref!"</definedName>
    <definedName name="__LLL09">"#ref!"</definedName>
    <definedName name="__LLL10">"#ref!"</definedName>
    <definedName name="__LLL11">"#ref!"</definedName>
    <definedName name="__MDE01">[1]Peralatan!$BO$27</definedName>
    <definedName name="__MDE02">[1]Peralatan!$BO$47</definedName>
    <definedName name="__MDE03">[1]Peralatan!$BO$67</definedName>
    <definedName name="__MDE04">[1]Peralatan!$BO$87</definedName>
    <definedName name="__MDE05">[1]Peralatan!$BO$107</definedName>
    <definedName name="__MDE06">[1]Peralatan!$BO$127</definedName>
    <definedName name="__MDE07">[1]Peralatan!$BO$147</definedName>
    <definedName name="__MDE08">[1]Peralatan!$BO$167</definedName>
    <definedName name="__MDE09">[1]Peralatan!$BO$187</definedName>
    <definedName name="__MDE10">[1]Peralatan!$BO$207</definedName>
    <definedName name="__MDE11">[1]Peralatan!$BO$227</definedName>
    <definedName name="__MDE12">[1]Peralatan!$BO$247</definedName>
    <definedName name="__MDE13">[1]Peralatan!$BO$267</definedName>
    <definedName name="__MDE14">[1]Peralatan!$BO$287</definedName>
    <definedName name="__MDE15">[1]Peralatan!$BO$307</definedName>
    <definedName name="__MDE16">[1]Peralatan!$BO$327</definedName>
    <definedName name="__MDE17">[1]Peralatan!$BO$347</definedName>
    <definedName name="__MDE18">[1]Peralatan!$BO$367</definedName>
    <definedName name="__MDE19">[1]Peralatan!$BO$387</definedName>
    <definedName name="__MDE20">[1]Peralatan!$BO$407</definedName>
    <definedName name="__MDE21">[1]Peralatan!$BO$427</definedName>
    <definedName name="__MDE22">[1]Peralatan!$BO$447</definedName>
    <definedName name="__MDE23">[1]Peralatan!$BO$467</definedName>
    <definedName name="__MDE24">[1]Peralatan!$BO$487</definedName>
    <definedName name="__MDE25">[1]Peralatan!$BO$507</definedName>
    <definedName name="__MDE26">#REF!</definedName>
    <definedName name="__MDE27">[1]Peralatan!$BO$547</definedName>
    <definedName name="__MDE28">[1]Peralatan!$BO$567</definedName>
    <definedName name="__MDE29">[1]Peralatan!$BO$587</definedName>
    <definedName name="__MDE30">[1]Peralatan!$BO$607</definedName>
    <definedName name="__MDE31">[1]Peralatan!$BO$627</definedName>
    <definedName name="__MDE32">[1]Peralatan!$BO$647</definedName>
    <definedName name="__MDE33">[1]Peralatan!$BO$667</definedName>
    <definedName name="__MDE34">[1]Peralatan!$BO$698</definedName>
    <definedName name="__MDE35">'[1]Peralatan (2)'!$R$27</definedName>
    <definedName name="__ME01">[1]Peralatan!$BO$26</definedName>
    <definedName name="__ME02">[1]Peralatan!$BO$46</definedName>
    <definedName name="__ME03">[1]Peralatan!$BO$66</definedName>
    <definedName name="__ME04">[1]Peralatan!$BO$86</definedName>
    <definedName name="__ME05">[1]Peralatan!$BO$106</definedName>
    <definedName name="__ME06">[1]Peralatan!$BO$126</definedName>
    <definedName name="__ME07">[1]Peralatan!$BO$146</definedName>
    <definedName name="__ME08">[1]Peralatan!$BO$166</definedName>
    <definedName name="__ME09">[1]Peralatan!$BO$186</definedName>
    <definedName name="__ME10">[1]Peralatan!$BO$206</definedName>
    <definedName name="__ME11">[1]Peralatan!$BO$226</definedName>
    <definedName name="__ME12">[1]Peralatan!$BO$246</definedName>
    <definedName name="__ME13">[1]Peralatan!$BO$266</definedName>
    <definedName name="__ME14">[1]Peralatan!$BO$286</definedName>
    <definedName name="__ME15">[1]Peralatan!$BO$306</definedName>
    <definedName name="__ME16">[1]Peralatan!$BO$326</definedName>
    <definedName name="__ME17">[1]Peralatan!$BO$346</definedName>
    <definedName name="__ME18">[1]Peralatan!$BO$366</definedName>
    <definedName name="__ME19">[1]Peralatan!$BO$386</definedName>
    <definedName name="__ME20">[1]Peralatan!$BO$406</definedName>
    <definedName name="__ME21">[1]Peralatan!$BO$426</definedName>
    <definedName name="__ME22">[1]Peralatan!$BO$446</definedName>
    <definedName name="__ME23">[1]Peralatan!$BO$466</definedName>
    <definedName name="__ME24">[1]Peralatan!$BO$486</definedName>
    <definedName name="__ME25">[1]Peralatan!$BO$506</definedName>
    <definedName name="__ME26">#REF!</definedName>
    <definedName name="__ME27">[1]Peralatan!$BO$546</definedName>
    <definedName name="__ME28">[1]Peralatan!$BO$566</definedName>
    <definedName name="__ME29">[1]Peralatan!$BO$586</definedName>
    <definedName name="__ME30">[1]Peralatan!$BO$606</definedName>
    <definedName name="__ME31">[1]Peralatan!$BO$626</definedName>
    <definedName name="__ME32">[1]Peralatan!$BO$646</definedName>
    <definedName name="__ME33">[1]Peralatan!$BO$666</definedName>
    <definedName name="__ME34">[1]Peralatan!$BO$697</definedName>
    <definedName name="__ME35">'[1]Peralatan (2)'!$R$26</definedName>
    <definedName name="__MMM01">"#ref!"</definedName>
    <definedName name="__MMM02">"#ref!"</definedName>
    <definedName name="__MMM03">"#ref!"</definedName>
    <definedName name="__MMM04">"#ref!"</definedName>
    <definedName name="__MMM05">"#ref!"</definedName>
    <definedName name="__MMM06">"#ref!"</definedName>
    <definedName name="__MMM07">"#ref!"</definedName>
    <definedName name="__MMM08">"#ref!"</definedName>
    <definedName name="__MMM09">"#ref!"</definedName>
    <definedName name="__MMM10">"#ref!"</definedName>
    <definedName name="__MMM11">"#ref!"</definedName>
    <definedName name="__MMM12">"#ref!"</definedName>
    <definedName name="__MMM13">"#ref!"</definedName>
    <definedName name="__MMM14">"#ref!"</definedName>
    <definedName name="__MMM15">"#ref!"</definedName>
    <definedName name="__MMM16">"#ref!"</definedName>
    <definedName name="__MMM17">"#ref!"</definedName>
    <definedName name="__MMM18">"#ref!"</definedName>
    <definedName name="__MMM19">"#ref!"</definedName>
    <definedName name="__MMM20">"#ref!"</definedName>
    <definedName name="__MMM21">"#ref!"</definedName>
    <definedName name="__MMM22">"#ref!"</definedName>
    <definedName name="__MMM23">"#ref!"</definedName>
    <definedName name="__MMM24">"#ref!"</definedName>
    <definedName name="__MMM25">"#ref!"</definedName>
    <definedName name="__MMM26">"#ref!"</definedName>
    <definedName name="__MMM27">"#ref!"</definedName>
    <definedName name="__MMM28">"#ref!"</definedName>
    <definedName name="__MMM29">"#ref!"</definedName>
    <definedName name="__MMM30">"#ref!"</definedName>
    <definedName name="__MMM31">"#ref!"</definedName>
    <definedName name="__MMM32">"#ref!"</definedName>
    <definedName name="__MMM33">"#ref!"</definedName>
    <definedName name="__MMM34">"#ref!"</definedName>
    <definedName name="__MMM35">"#ref!"</definedName>
    <definedName name="__MMM36">"#ref!"</definedName>
    <definedName name="__MMM37">"#ref!"</definedName>
    <definedName name="__MMM38">"#ref!"</definedName>
    <definedName name="__MMM39">"#ref!"</definedName>
    <definedName name="__MMM40">"#ref!"</definedName>
    <definedName name="__MMM41">"#ref!"</definedName>
    <definedName name="__MMM411">"#ref!"</definedName>
    <definedName name="__MMM42">"#ref!"</definedName>
    <definedName name="__MMM43">"#ref!"</definedName>
    <definedName name="__MMM44">"#ref!"</definedName>
    <definedName name="__MMM45">"#ref!"</definedName>
    <definedName name="__MMM46">"#ref!"</definedName>
    <definedName name="__MMM47">"#ref!"</definedName>
    <definedName name="__MMM48">"#ref!"</definedName>
    <definedName name="__MMM49">"#ref!"</definedName>
    <definedName name="__MMM50">"#ref!"</definedName>
    <definedName name="__MMM51">"#ref!"</definedName>
    <definedName name="__MMM52">"#ref!"</definedName>
    <definedName name="__MMM53">"#ref!"</definedName>
    <definedName name="__MMM54">"#ref!"</definedName>
    <definedName name="__shared_12_0_0">"d1"*"a1"</definedName>
    <definedName name="__shared_12_1_0">"e1"*"a1"</definedName>
    <definedName name="__shared_12_10_0">"d1"*"a1"</definedName>
    <definedName name="__shared_12_100_0">"d1"*"a1"</definedName>
    <definedName name="__shared_12_101_0">"d1"*"a1"</definedName>
    <definedName name="__shared_12_102_0">"d1"*"a1"</definedName>
    <definedName name="__shared_12_103_0">"d1"*"a1"</definedName>
    <definedName name="__shared_12_104_0">"d1"*"a1"</definedName>
    <definedName name="__shared_12_105_0">"d1"*"a1"</definedName>
    <definedName name="__shared_12_106_0">"d1"*"a1"</definedName>
    <definedName name="__shared_12_107_0">"d1"*"a1"</definedName>
    <definedName name="__shared_12_108_0">"d1"*"a1"</definedName>
    <definedName name="__shared_12_109_0">"d1"*"a1"</definedName>
    <definedName name="__shared_12_11_0">"d1"*"a1"</definedName>
    <definedName name="__shared_12_110_0">"d1"*"a1"</definedName>
    <definedName name="__shared_12_111_0">"d1"*"a1"</definedName>
    <definedName name="__shared_12_112_0">"a1"</definedName>
    <definedName name="__shared_12_113_0">"d1"*"a1"</definedName>
    <definedName name="__shared_12_114_0">"d1"*"a1"</definedName>
    <definedName name="__shared_12_115_0">"d1"*"a1"</definedName>
    <definedName name="__shared_12_116_0">"d1"*"a1"</definedName>
    <definedName name="__shared_12_117_0">"d1"*"a1"</definedName>
    <definedName name="__shared_12_118_0">"d1"*"a1"</definedName>
    <definedName name="__shared_12_119_0">"d1"*"a1"</definedName>
    <definedName name="__shared_12_12_0">"a1"</definedName>
    <definedName name="__shared_12_120_0">"d1"*"a1"</definedName>
    <definedName name="__shared_12_121_0">"d1"*"a1"</definedName>
    <definedName name="__shared_12_122_0">"d1"*"a1"</definedName>
    <definedName name="__shared_12_123_0">"d1"*"a1"</definedName>
    <definedName name="__shared_12_124_0">"d1"*"a1"</definedName>
    <definedName name="__shared_12_125_0">"d1"*"a1"</definedName>
    <definedName name="__shared_12_126_0">"d1"*"a1"</definedName>
    <definedName name="__shared_12_127_0">"d1"*"a1"</definedName>
    <definedName name="__shared_12_128_0">"d1"*"a1"</definedName>
    <definedName name="__shared_12_129_0">"d1"*"a1"</definedName>
    <definedName name="__shared_12_13_0">"d1"*"a1"</definedName>
    <definedName name="__shared_12_130_0">"d1"*"a1"</definedName>
    <definedName name="__shared_12_131_0">"d1"*"a1"</definedName>
    <definedName name="__shared_12_132_0">"d1"*"a1"</definedName>
    <definedName name="__shared_12_133_0">"d1"*"a1"</definedName>
    <definedName name="__shared_12_134_0">"a1"</definedName>
    <definedName name="__shared_12_135_0">"d1"*"a1"</definedName>
    <definedName name="__shared_12_136_0">"a1"</definedName>
    <definedName name="__shared_12_137_0">"d1"*"a1"</definedName>
    <definedName name="__shared_12_138_0">"a1"</definedName>
    <definedName name="__shared_12_139_0">"d1"*"a1"</definedName>
    <definedName name="__shared_12_14_0">"d1"*"a1"</definedName>
    <definedName name="__shared_12_140_0">"a1"</definedName>
    <definedName name="__shared_12_141_0">"d1"*"a1"</definedName>
    <definedName name="__shared_12_142_0">"a1"</definedName>
    <definedName name="__shared_12_143_0">"d1"*"a1"</definedName>
    <definedName name="__shared_12_144_0">"d1"*"a1"</definedName>
    <definedName name="__shared_12_145_0">"d1"*"a1"</definedName>
    <definedName name="__shared_12_146_0">"d1"*"a1"</definedName>
    <definedName name="__shared_12_147_0">"a1"</definedName>
    <definedName name="__shared_12_148_0">"d1"*"a1"</definedName>
    <definedName name="__shared_12_149_0">"a1"</definedName>
    <definedName name="__shared_12_15_0">"e1"*"a1"</definedName>
    <definedName name="__shared_12_150_0">"d1"*"a1"</definedName>
    <definedName name="__shared_12_151_0">"d1"*"a1"</definedName>
    <definedName name="__shared_12_152_0">"d1"*"a1"</definedName>
    <definedName name="__shared_12_153_0">"d1"*"a1"</definedName>
    <definedName name="__shared_12_154_0">"d1"*"a1"</definedName>
    <definedName name="__shared_12_155_0">"d1"*"a1"</definedName>
    <definedName name="__shared_12_156_0">"d1"*"a1"</definedName>
    <definedName name="__shared_12_157_0">"d1"*"a1"</definedName>
    <definedName name="__shared_12_158_0">"d1"*"a1"</definedName>
    <definedName name="__shared_12_159_0">"d1"*"a1"</definedName>
    <definedName name="__shared_12_16_0">"d1"*"a1"</definedName>
    <definedName name="__shared_12_160_0">"d1"*"a1"</definedName>
    <definedName name="__shared_12_161_0">"d1"*"a1"</definedName>
    <definedName name="__shared_12_162_0">"d1"*"a1"</definedName>
    <definedName name="__shared_12_163_0">"d1"*"a1"</definedName>
    <definedName name="__shared_12_164_0">"d1"*"a1"</definedName>
    <definedName name="__shared_12_165_0">"a1"</definedName>
    <definedName name="__shared_12_166_0">"d1"*"a1"</definedName>
    <definedName name="__shared_12_167_0">"a1"</definedName>
    <definedName name="__shared_12_168_0">"d1"*"a1"</definedName>
    <definedName name="__shared_12_169_0">"d1"*"a1"</definedName>
    <definedName name="__shared_12_17_0">"d1"*"a1"</definedName>
    <definedName name="__shared_12_170_0">"d1"*"a1"</definedName>
    <definedName name="__shared_12_171_0">"d1"*"a1"</definedName>
    <definedName name="__shared_12_172_0">"d1"*"a1"</definedName>
    <definedName name="__shared_12_173_0">"d1"*"a1"</definedName>
    <definedName name="__shared_12_174_0">"d1"*"a1"</definedName>
    <definedName name="__shared_12_175_0">"d1"*"a1"</definedName>
    <definedName name="__shared_12_176_0">"d1"*"a1"</definedName>
    <definedName name="__shared_12_177_0">"d1"*"a1"</definedName>
    <definedName name="__shared_12_178_0">"d1"*"a1"</definedName>
    <definedName name="__shared_12_179_0">"a1"</definedName>
    <definedName name="__shared_12_18_0">"a1"</definedName>
    <definedName name="__shared_12_180_0">"d1"*"a1"</definedName>
    <definedName name="__shared_12_181_0">"d1"*"a1"</definedName>
    <definedName name="__shared_12_182_0">"d1"*"a1"</definedName>
    <definedName name="__shared_12_183_0">"d1"*"a1"</definedName>
    <definedName name="__shared_12_184_0">"d1"*"a1"</definedName>
    <definedName name="__shared_12_185_0">"d1"*"a1"</definedName>
    <definedName name="__shared_12_19_0">"d1"*"a1"</definedName>
    <definedName name="__shared_12_2_0">"e1"*"a1"</definedName>
    <definedName name="__shared_12_20_0">"a1"</definedName>
    <definedName name="__shared_12_21_0">"d1"*"a1"</definedName>
    <definedName name="__shared_12_22_0">"a1"</definedName>
    <definedName name="__shared_12_23_0">"d1"*"a1"</definedName>
    <definedName name="__shared_12_24_0">"d1"*"a1"</definedName>
    <definedName name="__shared_12_25_0">"d1"*"a1"</definedName>
    <definedName name="__shared_12_26_0">"a1"</definedName>
    <definedName name="__shared_12_27_0">"d1"*"a1"</definedName>
    <definedName name="__shared_12_28_0">"a1"</definedName>
    <definedName name="__shared_12_29_0">"d1"*"a1"</definedName>
    <definedName name="__shared_12_3_0">"e1"*"a1"</definedName>
    <definedName name="__shared_12_30_0">"a1"</definedName>
    <definedName name="__shared_12_31_0">"d1"*"a1"</definedName>
    <definedName name="__shared_12_32_0">"d1"*"a1"</definedName>
    <definedName name="__shared_12_33_0">"d1"*"a1"</definedName>
    <definedName name="__shared_12_34_0">"d1"*"a1"</definedName>
    <definedName name="__shared_12_35_0">50/20*"a1"</definedName>
    <definedName name="__shared_12_36_0">"a1"</definedName>
    <definedName name="__shared_12_37_0">"d1"*"a1"</definedName>
    <definedName name="__shared_12_38_0">"a1"</definedName>
    <definedName name="__shared_12_39_0">"d1"*"a1"</definedName>
    <definedName name="__shared_12_4_0">"e1"*"a1"</definedName>
    <definedName name="__shared_12_40_0">"a1"</definedName>
    <definedName name="__shared_12_41_0">"d1"*"a1"</definedName>
    <definedName name="__shared_12_42_0">"b1"*"a1"</definedName>
    <definedName name="__shared_12_43_0">"d1"*"a1"</definedName>
    <definedName name="__shared_12_44_0">"a1"</definedName>
    <definedName name="__shared_12_45_0">"d1"*"a1"</definedName>
    <definedName name="__shared_12_46_0">"d1"*"a1"</definedName>
    <definedName name="__shared_12_47_0">"d1"*"a1"</definedName>
    <definedName name="__shared_12_48_0">"a1"</definedName>
    <definedName name="__shared_12_49_0">"d1"*"a1"</definedName>
    <definedName name="__shared_12_5_0">"d1"*"a1"</definedName>
    <definedName name="__shared_12_50_0">"d1"*"a1"</definedName>
    <definedName name="__shared_12_51_0">"a1"</definedName>
    <definedName name="__shared_12_52_0">"d1"*"a1"</definedName>
    <definedName name="__shared_12_53_0">"a1"</definedName>
    <definedName name="__shared_12_54_0">"d1"*"a1"</definedName>
    <definedName name="__shared_12_55_0">"a1"</definedName>
    <definedName name="__shared_12_56_0">"d1"*"a1"</definedName>
    <definedName name="__shared_12_57_0">"d1"*"a1"</definedName>
    <definedName name="__shared_12_58_0">"d1"*"a1"</definedName>
    <definedName name="__shared_12_59_0">"a1"</definedName>
    <definedName name="__shared_12_6_0">"d1"*"a1"</definedName>
    <definedName name="__shared_12_60_0">"d1"*"a1"</definedName>
    <definedName name="__shared_12_61_0">"a1"</definedName>
    <definedName name="__shared_12_62_0">"d1"*"a1"</definedName>
    <definedName name="__shared_12_63_0">"d1"*"a1"</definedName>
    <definedName name="__shared_12_64_0">"d1"*"a1"</definedName>
    <definedName name="__shared_12_65_0">"a1"</definedName>
    <definedName name="__shared_12_66_0">"d1"*"a1"</definedName>
    <definedName name="__shared_12_67_0">"a1"</definedName>
    <definedName name="__shared_12_68_0">"a1"</definedName>
    <definedName name="__shared_12_69_0">"d1"*"a1"</definedName>
    <definedName name="__shared_12_7_0">"e1"*"a1"</definedName>
    <definedName name="__shared_12_70_0">"d1"*"a1"</definedName>
    <definedName name="__shared_12_71_0">"d1"*"a1"</definedName>
    <definedName name="__shared_12_72_0">"d1"*"a1"</definedName>
    <definedName name="__shared_12_73_0">"d1"*"a1"</definedName>
    <definedName name="__shared_12_74_0">"d1"*"a1"</definedName>
    <definedName name="__shared_12_75_0">"d1"*"a1"</definedName>
    <definedName name="__shared_12_76_0">"d1"*"a1"</definedName>
    <definedName name="__shared_12_77_0">"d1"*"a1"</definedName>
    <definedName name="__shared_12_78_0">"d1"*"a1"</definedName>
    <definedName name="__shared_12_79_0">"d1"*"a1"</definedName>
    <definedName name="__shared_12_8_0">"d1"*"a1"</definedName>
    <definedName name="__shared_12_80_0">"a1"</definedName>
    <definedName name="__shared_12_81_0">"d1"*"a1"</definedName>
    <definedName name="__shared_12_82_0">"d1"*"a1"</definedName>
    <definedName name="__shared_12_83_0">"d1"*"a1"</definedName>
    <definedName name="__shared_12_84_0">"d1"*"a1"</definedName>
    <definedName name="__shared_12_85_0">"d1"*"a1"</definedName>
    <definedName name="__shared_12_86_0">"d1"*"a1"</definedName>
    <definedName name="__shared_12_87_0">"d1"*"a1"</definedName>
    <definedName name="__shared_12_88_0">"a1"</definedName>
    <definedName name="__shared_12_89_0">"d1"*"a1"</definedName>
    <definedName name="__shared_12_9_0">"a1"</definedName>
    <definedName name="__shared_12_90_0">"a1"*50/100</definedName>
    <definedName name="__shared_12_91_0">"d1"*"a1"</definedName>
    <definedName name="__shared_12_92_0">"d1"*"a1"</definedName>
    <definedName name="__shared_12_93_0">"d1"*"a1"</definedName>
    <definedName name="__shared_12_94_0">"d1"*"a1"</definedName>
    <definedName name="__shared_12_95_0">"d1"*"a1"</definedName>
    <definedName name="__shared_12_96_0">"d1"*"a1"</definedName>
    <definedName name="__shared_12_97_0">"d1"*"a1"</definedName>
    <definedName name="__shared_12_98_0">"d1"*"a1"</definedName>
    <definedName name="__shared_12_99_0">"d1"*"a1"</definedName>
    <definedName name="__shared_13_0_0">SUM("a1"*"c1")</definedName>
    <definedName name="__shared_13_1_0">SUM("a1"*"c1")</definedName>
    <definedName name="__shared_15_0_0">SUM("a1"*"c1")</definedName>
    <definedName name="__shared_15_1_0">SUM("a1"*"c1")</definedName>
    <definedName name="__shared_15_2_0">SUM("a1"*"c1")</definedName>
    <definedName name="__shared_15_3_0">SUM("a1"*"c1")</definedName>
    <definedName name="__shared_15_4_0">SUM("a1"*"c1")</definedName>
    <definedName name="__shared_15_5_0">SUM("a1"*"c1")</definedName>
    <definedName name="__shared_17_0_0">SUM("a1"*"c1")</definedName>
    <definedName name="__shared_17_1_0">SUM("a1"*"c1")</definedName>
    <definedName name="__shared_17_10_0">SUM("a1"*"c1")</definedName>
    <definedName name="__shared_17_11_0">SUM("a1"*"c1")</definedName>
    <definedName name="__shared_17_12_0">SUM("a1"*"c1")</definedName>
    <definedName name="__shared_17_13_0">SUM("a1"*"c1")</definedName>
    <definedName name="__shared_17_2_0">SUM("a1"*"c1")</definedName>
    <definedName name="__shared_17_3_0">SUM("a1"*"c1")</definedName>
    <definedName name="__shared_17_4_0">SUM("a1"*"c1")</definedName>
    <definedName name="__shared_17_5_0">SUM("a1"*"c1")</definedName>
    <definedName name="__shared_17_6_0">SUM("a1"*"c1")</definedName>
    <definedName name="__shared_17_7_0">SUM("a1"*"c1")</definedName>
    <definedName name="__shared_17_8_0">SUM("a1"*"c1")</definedName>
    <definedName name="__shared_17_9_0">SUM("a1"*"c1")</definedName>
    <definedName name="__shared_19_0_0">SUM("a1"*"c1")</definedName>
    <definedName name="__shared_19_1_0">SUM("a1"*"c1")</definedName>
    <definedName name="__shared_19_2_0">SUM("a1"*"c1")</definedName>
    <definedName name="__shared_21_0_0">SUM("a1"*"c1")</definedName>
    <definedName name="__shared_21_1_0">SUM("a1"*"c1")</definedName>
    <definedName name="__shared_21_2_0">SUM("a1"*"c1")</definedName>
    <definedName name="__shared_22_0_0">SUM("a1"*"c1")</definedName>
    <definedName name="__shared_22_1_0">SUM("a1"*"c1")</definedName>
    <definedName name="__shared_22_10_0">SUM("a1"*"c1")</definedName>
    <definedName name="__shared_22_11_0">SUM("a1"*"c1")</definedName>
    <definedName name="__shared_22_2_0">SUM("a1"*"c1")</definedName>
    <definedName name="__shared_22_3_0">SUM("a1"*"c1")</definedName>
    <definedName name="__shared_22_4_0">SUM("a1"*"c1")</definedName>
    <definedName name="__shared_22_5_0">SUM("a1"*"c1")</definedName>
    <definedName name="__shared_22_6_0">SUM("a1"*"c1")</definedName>
    <definedName name="__shared_22_7_0">SUM("a1"*"c1")</definedName>
    <definedName name="__shared_22_8_0">SUM("a1"*"c1")</definedName>
    <definedName name="__shared_22_9_0">SUM("a1"*"c1")</definedName>
    <definedName name="__shared_24_0_0">SUM("a1"*"c1")</definedName>
    <definedName name="__shared_24_1_0">SUM("a1"*"c1")</definedName>
    <definedName name="__shared_24_10_0">SUM("a1"*"c1")</definedName>
    <definedName name="__shared_24_11_0">SUM("a1"*"c1")</definedName>
    <definedName name="__shared_24_2_0">SUM("a1"*"c1")</definedName>
    <definedName name="__shared_24_3_0">SUM("a1"*"c1")</definedName>
    <definedName name="__shared_24_4_0">SUM("a1"*"c1")</definedName>
    <definedName name="__shared_24_5_0">SUM("a1"*"c1")</definedName>
    <definedName name="__shared_24_6_0">SUM("a1"*"c1")</definedName>
    <definedName name="__shared_24_7_0">SUM("a1"*"c1")</definedName>
    <definedName name="__shared_24_8_0">SUM("a1"*"c1")</definedName>
    <definedName name="__shared_24_9_0">SUM("a1"*"c1")</definedName>
    <definedName name="__shared_26_0_0">SUM("a1"*"c1")</definedName>
    <definedName name="__shared_26_1_0">SUM("a1"*"c1")</definedName>
    <definedName name="__shared_26_10_0">SUM("a1"*"c1")</definedName>
    <definedName name="__shared_26_11_0">SUM("a1"*"c1")</definedName>
    <definedName name="__shared_26_12_0">SUM("a1"*"c1")</definedName>
    <definedName name="__shared_26_13_0">SUM("a1"*"c1")</definedName>
    <definedName name="__shared_26_2_0">SUM("a1"*"c1")</definedName>
    <definedName name="__shared_26_3_0">SUM("a1"*"c1")</definedName>
    <definedName name="__shared_26_4_0">SUM("a1"*"c1")</definedName>
    <definedName name="__shared_26_5_0">SUM("a1"*"c1")</definedName>
    <definedName name="__shared_26_6_0">SUM("a1"*"c1")</definedName>
    <definedName name="__shared_26_7_0">SUM("a1"*"c1")</definedName>
    <definedName name="__shared_26_8_0">SUM("a1"*"c1")</definedName>
    <definedName name="__shared_26_9_0">SUM("a1"*"c1")</definedName>
    <definedName name="__shared_28_0_0">SUM("a1"*"c1")</definedName>
    <definedName name="__shared_28_1_0">SUM("a1"*"c1")</definedName>
    <definedName name="__shared_28_10_0">SUM("a1"*"c1")</definedName>
    <definedName name="__shared_28_11_0">SUM("a1"*"c1")</definedName>
    <definedName name="__shared_28_12_0">SUM("a1"*"c1")</definedName>
    <definedName name="__shared_28_2_0">SUM("a1"*"c1")</definedName>
    <definedName name="__shared_28_3_0">SUM("a1"*"c1")</definedName>
    <definedName name="__shared_28_4_0">SUM("a1"*"c1")</definedName>
    <definedName name="__shared_28_5_0">SUM("a1"*"c1")</definedName>
    <definedName name="__shared_28_6_0">SUM("a1"*"c1")</definedName>
    <definedName name="__shared_28_7_0">SUM("a1"*"c1")</definedName>
    <definedName name="__shared_28_8_0">SUM("a1"*"c1")</definedName>
    <definedName name="__shared_28_9_0">SUM("a1"*"c1")</definedName>
    <definedName name="__shared_30_0_0">SUM("a1"*"c1")</definedName>
    <definedName name="__shared_30_1_0">SUM("a1"*"c1")</definedName>
    <definedName name="__shared_30_10_0">SUM("a1"*"c1")</definedName>
    <definedName name="__shared_30_2_0">SUM("a1"*"c1")</definedName>
    <definedName name="__shared_30_3_0">SUM("a1"*"c1")</definedName>
    <definedName name="__shared_30_4_0">SUM("a1"*"c1")</definedName>
    <definedName name="__shared_30_5_0">SUM("a1"*"c1")</definedName>
    <definedName name="__shared_30_6_0">SUM("a1"*"c1")</definedName>
    <definedName name="__shared_30_7_0">SUM("a1"*"c1")</definedName>
    <definedName name="__shared_30_8_0">SUM("a1"*"c1")</definedName>
    <definedName name="__shared_30_9_0">SUM("a1"*"c1")</definedName>
    <definedName name="__shared_32_0_0">SUM("a1"*"c1")</definedName>
    <definedName name="__shared_32_1_0">SUM("a1"*"c1")</definedName>
    <definedName name="__shared_32_10_0">SUM("a1"*"c1")</definedName>
    <definedName name="__shared_32_2_0">SUM("a1"*"c1")</definedName>
    <definedName name="__shared_32_3_0">SUM("a1"*"c1")</definedName>
    <definedName name="__shared_32_4_0">SUM("a1"*"c1")</definedName>
    <definedName name="__shared_32_5_0">SUM("a1"*"c1")</definedName>
    <definedName name="__shared_32_6_0">SUM("a1"*"c1")</definedName>
    <definedName name="__shared_32_7_0">SUM("a1"*"c1")</definedName>
    <definedName name="__shared_32_8_0">SUM("a1"*"c1")</definedName>
    <definedName name="__shared_32_9_0">SUM("a1"*"c1")</definedName>
    <definedName name="__shared_34_0_0">SUM("a1"*"c1")</definedName>
    <definedName name="__shared_34_1_0">SUM("a1"*"c1")</definedName>
    <definedName name="__shared_34_2_0">SUM("a1"*"c1")</definedName>
    <definedName name="__shared_34_3_0">SUM("a1"*"c1")</definedName>
    <definedName name="__shared_34_4_0">SUM("a1"*"c1")</definedName>
    <definedName name="__shared_34_5_0">SUM("a1"*"c1")</definedName>
    <definedName name="__shared_34_6_0">SUM("a1"*"c1")</definedName>
    <definedName name="__shared_34_7_0">SUM("a1"*"c1")</definedName>
    <definedName name="__shared_34_8_0">SUM("a1"*"c1")</definedName>
    <definedName name="__shared_40_0_0">"a1"*"g1"</definedName>
    <definedName name="__shared_40_1_0">"a1"*"g1"</definedName>
    <definedName name="__shared_40_10_0">"a1"*"g1"</definedName>
    <definedName name="__shared_40_11_0">"a1"*"g1"</definedName>
    <definedName name="__shared_40_12_0">"a1"*"g1"</definedName>
    <definedName name="__shared_40_13_0">"a1"*"g1"</definedName>
    <definedName name="__shared_40_14_0">"a1"*"g1"</definedName>
    <definedName name="__shared_40_15_0">"a1"*"g1"</definedName>
    <definedName name="__shared_40_16_0">"a1"*"g1"</definedName>
    <definedName name="__shared_40_17_0">"a1"*"g1"</definedName>
    <definedName name="__shared_40_18_0">"a1"*"g1"</definedName>
    <definedName name="__shared_40_19_0">"a1"*"g1"</definedName>
    <definedName name="__shared_40_2_0">"a1"*"g1"</definedName>
    <definedName name="__shared_40_20_0">"a1"*"g1"</definedName>
    <definedName name="__shared_40_21_0">"a1"*"g1"</definedName>
    <definedName name="__shared_40_22_0">"a1"*"g1"</definedName>
    <definedName name="__shared_40_23_0">"a1"*"g1"</definedName>
    <definedName name="__shared_40_24_0">"a1"*"g1"</definedName>
    <definedName name="__shared_40_25_0">"a1"*"g1"</definedName>
    <definedName name="__shared_40_26_0">"a1"*"g1"</definedName>
    <definedName name="__shared_40_27_0">"a1"*"g1"</definedName>
    <definedName name="__shared_40_28_0">"a1"*"g1"</definedName>
    <definedName name="__shared_40_29_0">"a1"*"g1"</definedName>
    <definedName name="__shared_40_3_0">"a1"*"g1"</definedName>
    <definedName name="__shared_40_30_0">"a1"*"g1"</definedName>
    <definedName name="__shared_40_31_0">"a1"*"g1"</definedName>
    <definedName name="__shared_40_32_0">"a1"*"g1"</definedName>
    <definedName name="__shared_40_33_0">"a1"*"g1"</definedName>
    <definedName name="__shared_40_34_0">"a1"*"g1"</definedName>
    <definedName name="__shared_40_35_0">"a1"*"g1"</definedName>
    <definedName name="__shared_40_36_0">"a1"*"g1"</definedName>
    <definedName name="__shared_40_37_0">"a1"*"g1"</definedName>
    <definedName name="__shared_40_38_0">"a1"*"g1"</definedName>
    <definedName name="__shared_40_39_0">"a1"*"g1"</definedName>
    <definedName name="__shared_40_4_0">"a1"*"g1"</definedName>
    <definedName name="__shared_40_40_0">"a1"*"g1"</definedName>
    <definedName name="__shared_40_41_0">"a1"*"g1"</definedName>
    <definedName name="__shared_40_42_0">"a1"*"g1"</definedName>
    <definedName name="__shared_40_43_0">"a1"*"g1"</definedName>
    <definedName name="__shared_40_44_0">"a1"*"g1"</definedName>
    <definedName name="__shared_40_45_0">"a1"*"g1"</definedName>
    <definedName name="__shared_40_46_0">"a1"*"g1"</definedName>
    <definedName name="__shared_40_47_0">"a1"*"g1"</definedName>
    <definedName name="__shared_40_48_0">"a1"*"g1"</definedName>
    <definedName name="__shared_40_49_0">"a1"*"g1"</definedName>
    <definedName name="__shared_40_5_0">"a1"*"g1"</definedName>
    <definedName name="__shared_40_50_0">"a1"*"g1"</definedName>
    <definedName name="__shared_40_51_0">SUM("a1"*"g1")</definedName>
    <definedName name="__shared_40_52_0">"a1"*"g1"</definedName>
    <definedName name="__shared_40_53_0">"a1"*"g1"</definedName>
    <definedName name="__shared_40_54_0">"a1"*"g1"</definedName>
    <definedName name="__shared_40_55_0">"a1"*"g1"</definedName>
    <definedName name="__shared_40_56_0">"a1"</definedName>
    <definedName name="__shared_40_57_0">"a1"</definedName>
    <definedName name="__shared_40_58_0">"a1"</definedName>
    <definedName name="__shared_40_59_0">SUM("a1"*"g1")</definedName>
    <definedName name="__shared_40_6_0">"a1"*"g1"</definedName>
    <definedName name="__shared_40_60_0">"a1"</definedName>
    <definedName name="__shared_40_61_0">SUM("a1"*"g1")</definedName>
    <definedName name="__shared_40_62_0">"a1"</definedName>
    <definedName name="__shared_40_63_0">SUM("a1"*"g1")</definedName>
    <definedName name="__shared_40_7_0">"a1"*"g1"</definedName>
    <definedName name="__shared_40_8_0">"a1"*"g1"</definedName>
    <definedName name="__shared_40_9_0">"a1"*"g1"</definedName>
    <definedName name="__shared_41_0_0">"a1"*"g1"</definedName>
    <definedName name="__shared_41_1_0">"a1"*"g1"</definedName>
    <definedName name="__shared_41_10_0">"a1"*"g1"</definedName>
    <definedName name="__shared_41_11_0">"a1"*"g1"</definedName>
    <definedName name="__shared_41_12_0">"a1"*"g1"</definedName>
    <definedName name="__shared_41_13_0">"a1"*"g1"</definedName>
    <definedName name="__shared_41_14_0">"a1"*"g1"</definedName>
    <definedName name="__shared_41_15_0">"a1"*"g1"</definedName>
    <definedName name="__shared_41_16_0">"a1"*"g1"</definedName>
    <definedName name="__shared_41_17_0">"a1"*"g1"</definedName>
    <definedName name="__shared_41_18_0">"a1"*"g1"</definedName>
    <definedName name="__shared_41_19_0">"a1"*"g1"</definedName>
    <definedName name="__shared_41_2_0">"a1"*"g1"</definedName>
    <definedName name="__shared_41_20_0">"a1"*"g1"</definedName>
    <definedName name="__shared_41_21_0">"a1"*"g1"</definedName>
    <definedName name="__shared_41_22_0">"a1"*"g1"</definedName>
    <definedName name="__shared_41_23_0">"a1"*"g1"</definedName>
    <definedName name="__shared_41_24_0">"a1"*"g1"</definedName>
    <definedName name="__shared_41_25_0">"a1"*"g1"</definedName>
    <definedName name="__shared_41_26_0">"a1"*"g1"</definedName>
    <definedName name="__shared_41_27_0">"a1"*"g1"</definedName>
    <definedName name="__shared_41_28_0">"a1"*"g1"</definedName>
    <definedName name="__shared_41_29_0">"a1"*"g1"</definedName>
    <definedName name="__shared_41_3_0">"a1"*"g1"</definedName>
    <definedName name="__shared_41_30_0">"a1"*"g1"</definedName>
    <definedName name="__shared_41_31_0">"a1"*"g1"</definedName>
    <definedName name="__shared_41_32_0">"a1"*"g1"</definedName>
    <definedName name="__shared_41_33_0">"a1"*"g1"</definedName>
    <definedName name="__shared_41_34_0">"a1"*"g1"</definedName>
    <definedName name="__shared_41_35_0">"a1"*"g1"</definedName>
    <definedName name="__shared_41_36_0">"a1"*"g1"</definedName>
    <definedName name="__shared_41_37_0">"a1"*"g1"</definedName>
    <definedName name="__shared_41_38_0">"a1"*"g1"</definedName>
    <definedName name="__shared_41_39_0">"a1"*"g1"</definedName>
    <definedName name="__shared_41_4_0">"a1"*"g1"</definedName>
    <definedName name="__shared_41_40_0">"a1"*"g1"</definedName>
    <definedName name="__shared_41_41_0">"a1"*"g1"</definedName>
    <definedName name="__shared_41_42_0">"a1"*"g1"</definedName>
    <definedName name="__shared_41_43_0">"a1"*"g1"</definedName>
    <definedName name="__shared_41_44_0">"a1"*"g1"</definedName>
    <definedName name="__shared_41_45_0">"a1"*"g1"</definedName>
    <definedName name="__shared_41_46_0">"a1"*"g1"</definedName>
    <definedName name="__shared_41_47_0">SUM("a1"*"g1")</definedName>
    <definedName name="__shared_41_48_0">"a1"*"g1"</definedName>
    <definedName name="__shared_41_49_0">"a1"*"g1"</definedName>
    <definedName name="__shared_41_5_0">"a1"*"g1"</definedName>
    <definedName name="__shared_41_50_0">"a1"*"g1"</definedName>
    <definedName name="__shared_41_51_0">"a1"*"g1"</definedName>
    <definedName name="__shared_41_52_0">"a1"</definedName>
    <definedName name="__shared_41_53_0">"a1"</definedName>
    <definedName name="__shared_41_54_0">"a1"</definedName>
    <definedName name="__shared_41_55_0">SUM("a1"*"g1")</definedName>
    <definedName name="__shared_41_56_0">"a1"</definedName>
    <definedName name="__shared_41_57_0">SUM("a1"*"g1")</definedName>
    <definedName name="__shared_41_58_0">"a1"</definedName>
    <definedName name="__shared_41_59_0">SUM("a1"*"g1")</definedName>
    <definedName name="__shared_41_6_0">"a1"*"g1"</definedName>
    <definedName name="__shared_41_7_0">"a1"*"g1"</definedName>
    <definedName name="__shared_41_8_0">"a1"*"g1"</definedName>
    <definedName name="__shared_41_9_0">"a1"*"g1"</definedName>
    <definedName name="__shared_42_0_0">SUM("a1"*"c1")</definedName>
    <definedName name="__shared_42_1_0">SUM("a1"*"c1")</definedName>
    <definedName name="__shared_42_2_0">SUM("a1"*"c1")</definedName>
    <definedName name="__shared_42_3_0">SUM("a1"*"c1")</definedName>
    <definedName name="__shared_42_4_0">SUM("a1"*"c1")</definedName>
    <definedName name="__shared_42_5_0">SUM("a1"*"c1")</definedName>
    <definedName name="__shared_42_6_0">SUM("a1"*"c1")</definedName>
    <definedName name="__shared_42_7_0">SUM("a1"*"c1")</definedName>
    <definedName name="__shared_42_8_0">SUM("a1"*"c1")</definedName>
    <definedName name="__shared_44_0_0">SUM("a1"*"c1")</definedName>
    <definedName name="__shared_44_1_0">SUM("a1"*"c1")</definedName>
    <definedName name="__shared_44_2_0">SUM("a1"*"c1")</definedName>
    <definedName name="__shared_44_3_0">SUM("a1"*"c1")</definedName>
    <definedName name="__shared_44_4_0">SUM("a1"*"c1")</definedName>
    <definedName name="__shared_44_5_0">SUM("a1"*"c1")</definedName>
    <definedName name="__shared_44_6_0">SUM("a1"*"c1")</definedName>
    <definedName name="__shared_44_7_0">SUM("a1"*"c1")</definedName>
    <definedName name="__shared_44_8_0">SUM("a1"*"c1")</definedName>
    <definedName name="__shared_45_0_0">SUM("a1"*"c1")</definedName>
    <definedName name="__shared_45_1_0">SUM("a1"*"c1")</definedName>
    <definedName name="__shared_45_2_0">SUM("a1"*"c1")</definedName>
    <definedName name="__shared_45_3_0">SUM("a1"*"c1")</definedName>
    <definedName name="__shared_45_4_0">SUM("a1"*"c1")</definedName>
    <definedName name="__shared_45_5_0">SUM("a1"*"c1")</definedName>
    <definedName name="__shared_45_6_0">SUM("a1"*"c1")</definedName>
    <definedName name="__shared_45_7_0">SUM("a1"*"c1")</definedName>
    <definedName name="__shared_47_0_0">SUM("a1"*"c1")</definedName>
    <definedName name="__shared_47_1_0">SUM("a1"*"c1")</definedName>
    <definedName name="__shared_47_10_0">SUM("a1"*"c1")</definedName>
    <definedName name="__shared_47_11_0">SUM("a1"*"c1")</definedName>
    <definedName name="__shared_47_12_0">SUM("a1"*"c1")</definedName>
    <definedName name="__shared_47_13_0">SUM("a1"*"c1")</definedName>
    <definedName name="__shared_47_14_0">SUM("a1"*"c1")</definedName>
    <definedName name="__shared_47_15_0">SUM("a1"*"c1")</definedName>
    <definedName name="__shared_47_16_0">SUM("a1"*"c1")</definedName>
    <definedName name="__shared_47_17_0">SUM("a1"*"c1")</definedName>
    <definedName name="__shared_47_18_0">SUM("a1"*"c1")</definedName>
    <definedName name="__shared_47_19_0">SUM("a1"*"c1")</definedName>
    <definedName name="__shared_47_2_0">SUM("a1"*"c1")</definedName>
    <definedName name="__shared_47_20_0">SUM("a1"*"c1")</definedName>
    <definedName name="__shared_47_21_0">SUM("a1"*"c1")</definedName>
    <definedName name="__shared_47_22_0">SUM("a1"*"c1")</definedName>
    <definedName name="__shared_47_23_0">SUM("a1"*"c1")</definedName>
    <definedName name="__shared_47_24_0">SUM("a1"*"c1")</definedName>
    <definedName name="__shared_47_25_0">SUM("a1"*"c1")</definedName>
    <definedName name="__shared_47_26_0">SUM("a1"*"c1")</definedName>
    <definedName name="__shared_47_27_0">SUM("a1"*"c1")</definedName>
    <definedName name="__shared_47_3_0">SUM("a1"*"c1")</definedName>
    <definedName name="__shared_47_4_0">SUM("a1"*"c1")</definedName>
    <definedName name="__shared_47_5_0">SUM("a1"*"c1")</definedName>
    <definedName name="__shared_47_6_0">SUM("a1"*"c1")</definedName>
    <definedName name="__shared_47_7_0">SUM("a1"*"c1")</definedName>
    <definedName name="__shared_47_8_0">SUM("a1"*"c1")</definedName>
    <definedName name="__shared_47_9_0">SUM("a1"*"c1")</definedName>
    <definedName name="__shared_49_0_0">"c1"*"a1"</definedName>
    <definedName name="__shared_49_1_0">SUM("a1"*"c1")</definedName>
    <definedName name="__shared_49_10_0">SUM("a1"*"c1")</definedName>
    <definedName name="__shared_49_11_0">SUM("a1"*"c1")</definedName>
    <definedName name="__shared_49_12_0">SUM("a1"*"c1")</definedName>
    <definedName name="__shared_49_13_0">"c1"*"a1"</definedName>
    <definedName name="__shared_49_14_0">"c1"*"a1"</definedName>
    <definedName name="__shared_49_15_0">SUM("a1"*"c1")</definedName>
    <definedName name="__shared_49_16_0">SUM("a1"*"c1")</definedName>
    <definedName name="__shared_49_17_0">SUM("a1"*"c1")</definedName>
    <definedName name="__shared_49_18_0">SUM("a1"*"c1")</definedName>
    <definedName name="__shared_49_19_0">SUM("a1"*"c1")</definedName>
    <definedName name="__shared_49_2_0">"c1"*"a1"</definedName>
    <definedName name="__shared_49_20_0">SUM("a1"*"c1")</definedName>
    <definedName name="__shared_49_21_0">SUM("a1"*"c1")</definedName>
    <definedName name="__shared_49_22_0">SUM("a1"*"c1")</definedName>
    <definedName name="__shared_49_23_0">SUM("a1"*"c1")</definedName>
    <definedName name="__shared_49_24_0">SUM("a1"*"c1")</definedName>
    <definedName name="__shared_49_25_0">"c1"*"a1"</definedName>
    <definedName name="__shared_49_26_0">"c1"*"a1"</definedName>
    <definedName name="__shared_49_27_0">SUM("a1"*"c1")</definedName>
    <definedName name="__shared_49_3_0">SUM("a1"*"c1")</definedName>
    <definedName name="__shared_49_4_0">SUM("a1"*"c1")</definedName>
    <definedName name="__shared_49_5_0">SUM("a1"*"c1")</definedName>
    <definedName name="__shared_49_6_0">SUM("a1"*"c1")</definedName>
    <definedName name="__shared_49_7_0">SUM("a1"*"c1")</definedName>
    <definedName name="__shared_49_8_0">SUM("a1"*"c1")</definedName>
    <definedName name="__shared_49_9_0">SUM("a1"*"c1")</definedName>
    <definedName name="__shared_51_0_0">"c1"*"a1"</definedName>
    <definedName name="__shared_51_1_0">"c1"*"a1"</definedName>
    <definedName name="__shared_51_2_0">SUM("a1"*"c1")</definedName>
    <definedName name="__shared_51_3_0">"c1"*"a1"</definedName>
    <definedName name="__shared_51_4_0">"c1"*"a1"</definedName>
    <definedName name="__shared_51_5_0">SUM("a1"*"c1")</definedName>
    <definedName name="__shared_51_6_0">SUM("a1"*"c1")</definedName>
    <definedName name="__shared_51_7_0">SUM("a1"*"c1")</definedName>
    <definedName name="__shared_53_0_0">SUM("a1"*"c1")</definedName>
    <definedName name="__shared_53_1_0">SUM("a1"*"c1")</definedName>
    <definedName name="__shared_53_2_0">SUM("a1"*"c1")</definedName>
    <definedName name="__shared_53_3_0">SUM("a1"*"c1")</definedName>
    <definedName name="__shared_53_4_0">SUM("a1"*"c1")</definedName>
    <definedName name="__shared_53_5_0">SUM("a1"*"c1")</definedName>
    <definedName name="__shared_53_6_0">SUM("a1"*"c1")</definedName>
    <definedName name="__shared_53_7_0">SUM("a1"*"c1")</definedName>
    <definedName name="__shared_53_8_0">SUM("a1"*"c1")</definedName>
    <definedName name="__shared_55_0_0">SUM("a1"*"c1")</definedName>
    <definedName name="__shared_55_1_0">SUM("a1"*"c1")</definedName>
    <definedName name="__shared_57_0_0">SUM("a1"*"c1")</definedName>
    <definedName name="__shared_57_1_0">SUM("a1"*"c1")</definedName>
    <definedName name="__shared_57_10_0">SUM("a1"*"c1")</definedName>
    <definedName name="__shared_57_11_0">SUM("a1"*"c1")</definedName>
    <definedName name="__shared_57_12_0">SUM("a1"*"c1")</definedName>
    <definedName name="__shared_57_2_0">SUM("a1"*"c1")</definedName>
    <definedName name="__shared_57_3_0">SUM("a1"*"c1")</definedName>
    <definedName name="__shared_57_4_0">SUM("a1"*"c1")</definedName>
    <definedName name="__shared_57_5_0">SUM("a1"*"c1")</definedName>
    <definedName name="__shared_57_6_0">SUM("a1"*"c1")</definedName>
    <definedName name="__shared_57_7_0">SUM("a1"*"c1")</definedName>
    <definedName name="__shared_57_8_0">SUM("a1"*"c1")</definedName>
    <definedName name="__shared_57_9_0">SUM("a1"*"c1")</definedName>
    <definedName name="__shared_59_0_0">SUM("a1"*"c1")</definedName>
    <definedName name="__shared_59_1_0">SUM("a1"*"c1")</definedName>
    <definedName name="__shared_59_10_0">SUM("a1"*"c1")</definedName>
    <definedName name="__shared_59_11_0">SUM("a1"*"c1")</definedName>
    <definedName name="__shared_59_2_0">SUM("a1"*"c1")</definedName>
    <definedName name="__shared_59_3_0">SUM("a1"*"c1")</definedName>
    <definedName name="__shared_59_4_0">SUM("a1"*"c1")</definedName>
    <definedName name="__shared_59_5_0">SUM("a1"*"c1")</definedName>
    <definedName name="__shared_59_6_0">SUM("a1"*"c1")</definedName>
    <definedName name="__shared_59_7_0">SUM("a1"*"c1")</definedName>
    <definedName name="__shared_59_8_0">SUM("a1"*"c1")</definedName>
    <definedName name="__shared_59_9_0">SUM("a1"*"c1")</definedName>
    <definedName name="__shared_61_0_0">SUM("a1"*"c1")</definedName>
    <definedName name="__shared_61_1_0">SUM("a1"*"c1")</definedName>
    <definedName name="__shared_61_10_0">SUM("a1"*"c1")</definedName>
    <definedName name="__shared_61_2_0">SUM("a1"*"c1")</definedName>
    <definedName name="__shared_61_3_0">SUM("a1"*"c1")</definedName>
    <definedName name="__shared_61_4_0">SUM("a1"*"c1")</definedName>
    <definedName name="__shared_61_5_0">SUM("a1"*"c1")</definedName>
    <definedName name="__shared_61_6_0">SUM("a1"*"c1")</definedName>
    <definedName name="__shared_61_7_0">SUM("a1"*"c1")</definedName>
    <definedName name="__shared_61_8_0">SUM("a1"*"c1")</definedName>
    <definedName name="__shared_61_9_0">SUM("a1"*"c1")</definedName>
    <definedName name="__shared_63_0_0">SUM("a1"*"c1")</definedName>
    <definedName name="__shared_63_1_0">SUM("a1"*"c1")</definedName>
    <definedName name="__shared_63_10_0">SUM("a1"*"c1")</definedName>
    <definedName name="__shared_63_2_0">SUM("a1"*"c1")</definedName>
    <definedName name="__shared_63_3_0">SUM("a1"*"c1")</definedName>
    <definedName name="__shared_63_4_0">SUM("a1"*"c1")</definedName>
    <definedName name="__shared_63_5_0">SUM("a1"*"c1")</definedName>
    <definedName name="__shared_63_6_0">SUM("a1"*"c1")</definedName>
    <definedName name="__shared_63_7_0">SUM("a1"*"c1")</definedName>
    <definedName name="__shared_63_8_0">SUM("a1"*"c1")</definedName>
    <definedName name="__shared_63_9_0">SUM("a1"*"c1")</definedName>
    <definedName name="__shared_65_0_0">SUM("a1"*"c1")</definedName>
    <definedName name="__shared_65_1_0">SUM("a1"*"c1")</definedName>
    <definedName name="__shared_65_2_0">SUM("a1"*"c1")</definedName>
    <definedName name="__shared_65_3_0">SUM("a1"*"c1")</definedName>
    <definedName name="__shared_65_4_0">SUM("a1"*"c1")</definedName>
    <definedName name="__shared_65_5_0">SUM("a1"*"c1")</definedName>
    <definedName name="__shared_65_6_0">SUM("a1"*"c1")</definedName>
    <definedName name="__shared_65_7_0">SUM("a1"*"c1")</definedName>
    <definedName name="__shared_66_0_0">SUM("a1"*"c1")</definedName>
    <definedName name="__shared_66_1_0">SUM("a1"*"c1")</definedName>
    <definedName name="__shared_66_10_0">SUM("a1"*"c1")</definedName>
    <definedName name="__shared_66_11_0">SUM("a1"*"c1")</definedName>
    <definedName name="__shared_66_12_0">SUM("a1"*"c1")</definedName>
    <definedName name="__shared_66_13_0">SUM("a1"*"c1")</definedName>
    <definedName name="__shared_66_14_0">SUM("a1"*"c1")</definedName>
    <definedName name="__shared_66_15_0">SUM("a1"*"c1")</definedName>
    <definedName name="__shared_66_2_0">SUM("a1"*"c1")</definedName>
    <definedName name="__shared_66_3_0">SUM("a1"*"c1")</definedName>
    <definedName name="__shared_66_4_0">SUM("a1"*"c1")</definedName>
    <definedName name="__shared_66_5_0">SUM("a1"*"c1")</definedName>
    <definedName name="__shared_66_6_0">SUM("a1"*"c1")</definedName>
    <definedName name="__shared_66_7_0">SUM("a1"*"c1")</definedName>
    <definedName name="__shared_66_8_0">SUM("a1"*"c1")</definedName>
    <definedName name="__shared_66_9_0">SUM("a1"*"c1")</definedName>
    <definedName name="__shared_68_0_0">SUM("a1"*"c1")</definedName>
    <definedName name="__shared_68_1_0">SUM("a1"*"c1")</definedName>
    <definedName name="__shared_68_10_0">SUM("a1"*"c1")</definedName>
    <definedName name="__shared_68_11_0">SUM("a1"*"c1")</definedName>
    <definedName name="__shared_68_12_0">SUM("a1"*"c1")</definedName>
    <definedName name="__shared_68_13_0">SUM("a1"*"c1")</definedName>
    <definedName name="__shared_68_14_0">SUM("a1"*"c1")</definedName>
    <definedName name="__shared_68_15_0">SUM("a1"*"c1")</definedName>
    <definedName name="__shared_68_16_0">SUM("a1"*"c1")</definedName>
    <definedName name="__shared_68_2_0">SUM("a1"*"c1")</definedName>
    <definedName name="__shared_68_3_0">SUM("a1"*"c1")</definedName>
    <definedName name="__shared_68_4_0">SUM("a1"*"c1")</definedName>
    <definedName name="__shared_68_5_0">SUM("a1"*"c1")</definedName>
    <definedName name="__shared_68_6_0">SUM("a1"*"c1")</definedName>
    <definedName name="__shared_68_7_0">SUM("a1"*"c1")</definedName>
    <definedName name="__shared_68_8_0">SUM("a1"*"c1")</definedName>
    <definedName name="__shared_68_9_0">SUM("a1"*"c1")</definedName>
    <definedName name="__shared_70_0_0">SUM("a1"*"c1")</definedName>
    <definedName name="__shared_70_1_0">SUM("a1"*"c1")</definedName>
    <definedName name="__shared_70_10_0">SUM("a1"*"c1")</definedName>
    <definedName name="__shared_70_11_0">SUM("a1"*"c1")</definedName>
    <definedName name="__shared_70_12_0">SUM("a1"*"c1")</definedName>
    <definedName name="__shared_70_13_0">SUM("a1"*"c1")</definedName>
    <definedName name="__shared_70_14_0">SUM("a1"*"c1")</definedName>
    <definedName name="__shared_70_15_0">SUM("a1"*"c1")</definedName>
    <definedName name="__shared_70_16_0">SUM("a1"*"c1")</definedName>
    <definedName name="__shared_70_2_0">SUM("a1"*"c1")</definedName>
    <definedName name="__shared_70_3_0">SUM("a1"*"c1")</definedName>
    <definedName name="__shared_70_4_0">SUM("a1"*"c1")</definedName>
    <definedName name="__shared_70_5_0">SUM("a1"*"c1")</definedName>
    <definedName name="__shared_70_6_0">SUM("a1"*"c1")</definedName>
    <definedName name="__shared_70_7_0">SUM("a1"*"c1")</definedName>
    <definedName name="__shared_70_8_0">SUM("a1"*"c1")</definedName>
    <definedName name="__shared_70_9_0">SUM("a1"*"c1")</definedName>
    <definedName name="__shared_71_0_0">SUM("a1"*"c1")</definedName>
    <definedName name="__shared_71_1_0">SUM("a1"*"c1")</definedName>
    <definedName name="__shared_71_10_0">SUM("a1"*"c1")</definedName>
    <definedName name="__shared_71_11_0">SUM("a1"*"c1")</definedName>
    <definedName name="__shared_71_12_0">SUM("a1"*"c1")</definedName>
    <definedName name="__shared_71_13_0">SUM("a1"*"c1")</definedName>
    <definedName name="__shared_71_14_0">SUM("a1"*"c1")</definedName>
    <definedName name="__shared_71_15_0">SUM("a1"*"c1")</definedName>
    <definedName name="__shared_71_16_0">SUM("a1"*"c1")</definedName>
    <definedName name="__shared_71_17_0">SUM("a1"*"c1")</definedName>
    <definedName name="__shared_71_2_0">SUM("a1"*"c1")</definedName>
    <definedName name="__shared_71_3_0">SUM("a1"*"c1")</definedName>
    <definedName name="__shared_71_4_0">SUM("a1"*"c1")</definedName>
    <definedName name="__shared_71_5_0">SUM("a1"*"c1")</definedName>
    <definedName name="__shared_71_6_0">SUM("a1"*"c1")</definedName>
    <definedName name="__shared_71_7_0">SUM("a1"*"c1")</definedName>
    <definedName name="__shared_71_8_0">SUM("a1"*"c1")</definedName>
    <definedName name="__shared_71_9_0">SUM("a1"*"c1")</definedName>
    <definedName name="__shared_73_0_0">SUM("a1"*"c1")</definedName>
    <definedName name="__shared_73_1_0">SUM("a1"*"c1")</definedName>
    <definedName name="__shared_73_2_0">SUM("a1"*"c1")</definedName>
    <definedName name="__shared_73_3_0">SUM("a1"*"c1")</definedName>
    <definedName name="__sp606">#REF!</definedName>
    <definedName name="__xlnm.Print_Area">"#ref!"</definedName>
    <definedName name="__xlnm_Print_Area">"#ref!"</definedName>
    <definedName name="_110">#REF!</definedName>
    <definedName name="_210">#REF!</definedName>
    <definedName name="_224">#REF!</definedName>
    <definedName name="_225">#REF!</definedName>
    <definedName name="_310">#REF!</definedName>
    <definedName name="_410">#REF!</definedName>
    <definedName name="_424">#REF!</definedName>
    <definedName name="_514">#REF!</definedName>
    <definedName name="_7.1__2">'[11]D7(1)'!#REF!</definedName>
    <definedName name="_705">#REF!</definedName>
    <definedName name="_DIV1">[9]RAB!$J$29</definedName>
    <definedName name="_DIV10">'[10]Kuantitas &amp; Harga'!#REF!</definedName>
    <definedName name="_DIV11">'[10]Kuantitas &amp; Harga'!#REF!</definedName>
    <definedName name="_div2">'[10]Rekap Biaya'!#REF!</definedName>
    <definedName name="_DIV3" hidden="1">'[6]Div2'!$G$12:$G$20</definedName>
    <definedName name="_DIV4">'[10]Kuantitas &amp; Harga'!#REF!</definedName>
    <definedName name="_DIV5">'[10]Kuantitas &amp; Harga'!#REF!</definedName>
    <definedName name="_DIV6">'[10]Kuantitas &amp; Harga'!#REF!</definedName>
    <definedName name="_DIV7">'[10]Kuantitas &amp; Harga'!#REF!</definedName>
    <definedName name="_DIV8">'[10]Kuantitas &amp; Harga'!#REF!</definedName>
    <definedName name="_DIV9">'[10]Kuantitas &amp; Harga'!#REF!</definedName>
    <definedName name="_EEE01">#REF!</definedName>
    <definedName name="_EEE02">'[11]5-Alt(1)'!$AW$9</definedName>
    <definedName name="_EEE03">#REF!</definedName>
    <definedName name="_EEE04">#REF!</definedName>
    <definedName name="_EEE05">'[11]5-Alt(1)'!$AW$12</definedName>
    <definedName name="_EEE06">'[11]5-Alt(1)'!$AW$13</definedName>
    <definedName name="_EEE07">'[11]5-Alt(1)'!$AW$14</definedName>
    <definedName name="_EEE08">'[11]5-Alt(1)'!$AW$15</definedName>
    <definedName name="_EEE09">'[11]5-Alt(1)'!$AW$16</definedName>
    <definedName name="_EEE10">'[11]5-Alt(1)'!$AW$17</definedName>
    <definedName name="_EEE11">'[11]5-Alt(1)'!$AW$18</definedName>
    <definedName name="_EEE12">#REF!</definedName>
    <definedName name="_EEE13">'[11]5-Alt(1)'!$AW$20</definedName>
    <definedName name="_EEE14">#REF!</definedName>
    <definedName name="_EEE15">#REF!</definedName>
    <definedName name="_EEE16">'[11]5-Alt(1)'!$AW$23</definedName>
    <definedName name="_EEE17">'[11]5-Alt(1)'!$AW$24</definedName>
    <definedName name="_EEE18">#REF!</definedName>
    <definedName name="_EEE19">#REF!</definedName>
    <definedName name="_EEE20">#REF!</definedName>
    <definedName name="_EEE21">#REF!</definedName>
    <definedName name="_EEE22">#REF!</definedName>
    <definedName name="_EEE23">'[11]5-Alt(1)'!$AW$30</definedName>
    <definedName name="_EEE24">#REF!</definedName>
    <definedName name="_EEE25">#REF!</definedName>
    <definedName name="_EEE26">#REF!</definedName>
    <definedName name="_EEE27">'[11]5-Alt(1)'!$AW$34</definedName>
    <definedName name="_EEE28">#REF!</definedName>
    <definedName name="_EEE29">'[11]5-Alt(1)'!$AW$36</definedName>
    <definedName name="_EEE30">#REF!</definedName>
    <definedName name="_EEE31">'[11]5-Alt(1)'!$AW$38</definedName>
    <definedName name="_EEE32">#REF!</definedName>
    <definedName name="_EEE33">#REF!</definedName>
    <definedName name="_Fill" hidden="1">#REF!</definedName>
    <definedName name="_xlnm._FilterDatabase" hidden="1">[12]REKAP!$A$1:$H$53</definedName>
    <definedName name="_HAL1">#REF!</definedName>
    <definedName name="_HAL2">'[10]Kuantitas &amp; Harga'!#REF!</definedName>
    <definedName name="_HAL3">'[10]Kuantitas &amp; Harga'!#REF!</definedName>
    <definedName name="_HAL4">'[10]Kuantitas &amp; Harga'!#REF!</definedName>
    <definedName name="_HAL5">'[10]Kuantitas &amp; Harga'!#REF!</definedName>
    <definedName name="_HAL6">'[10]Kuantitas &amp; Harga'!#REF!</definedName>
    <definedName name="_HAL7">'[10]Kuantitas &amp; Harga'!#REF!</definedName>
    <definedName name="_HAL8">'[10]Kuantitas &amp; Harga'!#REF!</definedName>
    <definedName name="_Key1" hidden="1">#REF!</definedName>
    <definedName name="_Key2" hidden="1">#REF!</definedName>
    <definedName name="_LLL01">"#ref!"</definedName>
    <definedName name="_LLL02">"#ref!"</definedName>
    <definedName name="_LLL03">"#ref!"</definedName>
    <definedName name="_LLL04">"#ref!"</definedName>
    <definedName name="_LLL05">"#ref!"</definedName>
    <definedName name="_LLL06">"#ref!"</definedName>
    <definedName name="_LLL07">"#ref!"</definedName>
    <definedName name="_LLL08">"#ref!"</definedName>
    <definedName name="_LLL09">"#ref!"</definedName>
    <definedName name="_LLL10">"#ref!"</definedName>
    <definedName name="_LLL11">"#ref!"</definedName>
    <definedName name="_MDE01">[1]Peralatan!$BO$27</definedName>
    <definedName name="_MDE02">[1]Peralatan!$BO$47</definedName>
    <definedName name="_MDE03">[1]Peralatan!$BO$67</definedName>
    <definedName name="_MDE04">[1]Peralatan!$BO$87</definedName>
    <definedName name="_MDE05">[1]Peralatan!$BO$107</definedName>
    <definedName name="_MDE06">[1]Peralatan!$BO$127</definedName>
    <definedName name="_MDE07">[1]Peralatan!$BO$147</definedName>
    <definedName name="_MDE08">[1]Peralatan!$BO$167</definedName>
    <definedName name="_MDE09">[1]Peralatan!$BO$187</definedName>
    <definedName name="_MDE10">[1]Peralatan!$BO$207</definedName>
    <definedName name="_MDE11">[1]Peralatan!$BO$227</definedName>
    <definedName name="_MDE12">[1]Peralatan!$BO$247</definedName>
    <definedName name="_MDE13">[1]Peralatan!$BO$267</definedName>
    <definedName name="_MDE14">[1]Peralatan!$BO$287</definedName>
    <definedName name="_MDE15">[1]Peralatan!$BO$307</definedName>
    <definedName name="_MDE16">[1]Peralatan!$BO$327</definedName>
    <definedName name="_MDE17">[1]Peralatan!$BO$347</definedName>
    <definedName name="_MDE18">[1]Peralatan!$BO$367</definedName>
    <definedName name="_MDE19">[1]Peralatan!$BO$387</definedName>
    <definedName name="_MDE20">[1]Peralatan!$BO$407</definedName>
    <definedName name="_MDE21">[1]Peralatan!$BO$427</definedName>
    <definedName name="_MDE22">[1]Peralatan!$BO$447</definedName>
    <definedName name="_MDE23">[1]Peralatan!$BO$467</definedName>
    <definedName name="_MDE24">[1]Peralatan!$BO$487</definedName>
    <definedName name="_MDE25">[1]Peralatan!$BO$507</definedName>
    <definedName name="_MDE26">#REF!</definedName>
    <definedName name="_MDE27">[1]Peralatan!$BO$547</definedName>
    <definedName name="_MDE28">[1]Peralatan!$BO$567</definedName>
    <definedName name="_MDE29">[1]Peralatan!$BO$587</definedName>
    <definedName name="_MDE30">[1]Peralatan!$BO$607</definedName>
    <definedName name="_MDE31">[1]Peralatan!$BO$627</definedName>
    <definedName name="_MDE32">[1]Peralatan!$BO$647</definedName>
    <definedName name="_MDE33">[1]Peralatan!$BO$667</definedName>
    <definedName name="_MDE34">[1]Peralatan!$BO$698</definedName>
    <definedName name="_MDE35">'[1]Peralatan (2)'!$R$27</definedName>
    <definedName name="_ME01">[1]Peralatan!$BO$26</definedName>
    <definedName name="_ME02">[1]Peralatan!$BO$46</definedName>
    <definedName name="_ME03">[1]Peralatan!$BO$66</definedName>
    <definedName name="_ME04">[1]Peralatan!$BO$86</definedName>
    <definedName name="_ME05">[1]Peralatan!$BO$106</definedName>
    <definedName name="_ME06">[1]Peralatan!$BO$126</definedName>
    <definedName name="_ME07">[1]Peralatan!$BO$146</definedName>
    <definedName name="_ME08">[1]Peralatan!$BO$166</definedName>
    <definedName name="_ME09">[1]Peralatan!$BO$186</definedName>
    <definedName name="_ME10">[1]Peralatan!$BO$206</definedName>
    <definedName name="_ME11">[1]Peralatan!$BO$226</definedName>
    <definedName name="_ME12">[1]Peralatan!$BO$246</definedName>
    <definedName name="_ME13">[1]Peralatan!$BO$266</definedName>
    <definedName name="_ME14">[1]Peralatan!$BO$286</definedName>
    <definedName name="_ME15">[1]Peralatan!$BO$306</definedName>
    <definedName name="_ME16">[1]Peralatan!$BO$326</definedName>
    <definedName name="_ME17">[1]Peralatan!$BO$346</definedName>
    <definedName name="_ME18">[1]Peralatan!$BO$366</definedName>
    <definedName name="_ME19">[1]Peralatan!$BO$386</definedName>
    <definedName name="_ME20">[1]Peralatan!$BO$406</definedName>
    <definedName name="_ME21">[1]Peralatan!$BO$426</definedName>
    <definedName name="_ME22">[1]Peralatan!$BO$446</definedName>
    <definedName name="_ME23">[1]Peralatan!$BO$466</definedName>
    <definedName name="_ME24">[1]Peralatan!$BO$486</definedName>
    <definedName name="_ME25">[1]Peralatan!$BO$506</definedName>
    <definedName name="_ME26">#REF!</definedName>
    <definedName name="_ME27">[1]Peralatan!$BO$546</definedName>
    <definedName name="_ME28">[1]Peralatan!$BO$566</definedName>
    <definedName name="_ME29">[1]Peralatan!$BO$586</definedName>
    <definedName name="_ME30">[1]Peralatan!$BO$606</definedName>
    <definedName name="_ME31">[1]Peralatan!$BO$626</definedName>
    <definedName name="_ME32">[1]Peralatan!$BO$646</definedName>
    <definedName name="_ME33">[1]Peralatan!$BO$666</definedName>
    <definedName name="_ME34">[1]Peralatan!$BO$697</definedName>
    <definedName name="_ME35">'[1]Peralatan (2)'!$R$26</definedName>
    <definedName name="_MMM01">"#ref!"</definedName>
    <definedName name="_MMM02">"#ref!"</definedName>
    <definedName name="_MMM03">"#ref!"</definedName>
    <definedName name="_MMM04">"#ref!"</definedName>
    <definedName name="_MMM05">"#ref!"</definedName>
    <definedName name="_MMM06">"#ref!"</definedName>
    <definedName name="_MMM07">"#ref!"</definedName>
    <definedName name="_MMM08">"#ref!"</definedName>
    <definedName name="_MMM09">"#ref!"</definedName>
    <definedName name="_MMM10">"#ref!"</definedName>
    <definedName name="_MMM11">"#ref!"</definedName>
    <definedName name="_MMM12">"#ref!"</definedName>
    <definedName name="_MMM13">"#ref!"</definedName>
    <definedName name="_MMM14">"#ref!"</definedName>
    <definedName name="_MMM15">"#ref!"</definedName>
    <definedName name="_MMM16">"#ref!"</definedName>
    <definedName name="_MMM17">"#ref!"</definedName>
    <definedName name="_MMM18">"#ref!"</definedName>
    <definedName name="_MMM19">"#ref!"</definedName>
    <definedName name="_MMM20">"#ref!"</definedName>
    <definedName name="_MMM21">"#ref!"</definedName>
    <definedName name="_MMM22">"#ref!"</definedName>
    <definedName name="_MMM23">"#ref!"</definedName>
    <definedName name="_MMM24">"#ref!"</definedName>
    <definedName name="_MMM25">"#ref!"</definedName>
    <definedName name="_MMM26">"#ref!"</definedName>
    <definedName name="_MMM27">"#ref!"</definedName>
    <definedName name="_MMM28">"#ref!"</definedName>
    <definedName name="_MMM29">"#ref!"</definedName>
    <definedName name="_MMM30">"#ref!"</definedName>
    <definedName name="_MMM31">"#ref!"</definedName>
    <definedName name="_MMM32">"#ref!"</definedName>
    <definedName name="_MMM33">"#ref!"</definedName>
    <definedName name="_MMM34">"#ref!"</definedName>
    <definedName name="_MMM35">"#ref!"</definedName>
    <definedName name="_MMM36">"#ref!"</definedName>
    <definedName name="_MMM37">"#ref!"</definedName>
    <definedName name="_MMM38">"#ref!"</definedName>
    <definedName name="_MMM39">"#ref!"</definedName>
    <definedName name="_MMM40">"#ref!"</definedName>
    <definedName name="_MMM41">"#ref!"</definedName>
    <definedName name="_MMM411">"#ref!"</definedName>
    <definedName name="_MMM42">"#ref!"</definedName>
    <definedName name="_MMM43">"#ref!"</definedName>
    <definedName name="_MMM44">"#ref!"</definedName>
    <definedName name="_MMM45">"#ref!"</definedName>
    <definedName name="_MMM46">"#ref!"</definedName>
    <definedName name="_MMM47">"#ref!"</definedName>
    <definedName name="_MMM48">"#ref!"</definedName>
    <definedName name="_MMM49">"#ref!"</definedName>
    <definedName name="_MMM50">"#ref!"</definedName>
    <definedName name="_MMM51">"#ref!"</definedName>
    <definedName name="_MMM52">"#ref!"</definedName>
    <definedName name="_MMM53">"#ref!"</definedName>
    <definedName name="_MMM54">"#ref!"</definedName>
    <definedName name="_Order1" hidden="1">255</definedName>
    <definedName name="_Order2" hidden="1">255</definedName>
    <definedName name="_Sort" hidden="1">#REF!</definedName>
    <definedName name="_sp606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">[13]RAB!#REF!</definedName>
    <definedName name="A.1">#REF!</definedName>
    <definedName name="A.16">#REF!</definedName>
    <definedName name="A.18_PASIR">#REF!</definedName>
    <definedName name="A.18_TANAH">#REF!</definedName>
    <definedName name="A.2">#REF!</definedName>
    <definedName name="A.4">#REF!</definedName>
    <definedName name="A.4A">[14]Analisa!$H$57</definedName>
    <definedName name="A_1">#REF!</definedName>
    <definedName name="A_AMP">"#ref!"</definedName>
    <definedName name="A_DumpTruck">"#ref!"</definedName>
    <definedName name="A_Excavator">"#ref!"</definedName>
    <definedName name="A_Finisher">"#ref!"</definedName>
    <definedName name="A_MotorGreder">"#ref!"</definedName>
    <definedName name="A_WaterTank">#N/A</definedName>
    <definedName name="A_WheelLoader">#N/A</definedName>
    <definedName name="aa">'[15]Analisa K'!#REF!</definedName>
    <definedName name="AAA">#REF!</definedName>
    <definedName name="ab">[14]RAB!#REF!</definedName>
    <definedName name="AC_GENERAL">'[16]Hrg Bahan'!#REF!</definedName>
    <definedName name="AC_TOSHIBA">'[16]Hrg Bahan'!#REF!</definedName>
    <definedName name="AD">'[17]D. Upah'!$E$7:$G$18</definedName>
    <definedName name="adsdsd">#REF!</definedName>
    <definedName name="AGREGAT">'[10]Kuantitas &amp; Harga'!#REF!</definedName>
    <definedName name="AIR_VALVE_DIA.1">'[16]Hrg Bahan'!#REF!</definedName>
    <definedName name="AKUSTIK">'[16]Hrg Bahan'!#REF!</definedName>
    <definedName name="alat">#REF!</definedName>
    <definedName name="ALAT_BANTU">'[16]Hrg Bahan'!$N$122</definedName>
    <definedName name="ALATUTAMA">#REF!</definedName>
    <definedName name="ALT">'[18]daft sewa alt'!$C$4:$E$11</definedName>
    <definedName name="ALUMINIUM_U">'[16]Hrg Bahan'!#REF!</definedName>
    <definedName name="AMP">#REF!</definedName>
    <definedName name="AMPLAS_KASAR">'[16]Hrg Bahan'!#REF!</definedName>
    <definedName name="AN.1">#REF!</definedName>
    <definedName name="andi">'[17]Daftar Bahan'!$F$6:$J$45</definedName>
    <definedName name="Anl.G50c_voeg_hal.18">[19]Hrg.sat.!$I$1213</definedName>
    <definedName name="Anl.G50m_plesteran_hal.18">[19]Hrg.sat.!$I$1198</definedName>
    <definedName name="Apr_All">"#ref!"</definedName>
    <definedName name="Apr_Bahapal">"#ref!"</definedName>
    <definedName name="Apr_Barumun">"#ref!"</definedName>
    <definedName name="Apr_Buaya">"#ref!"</definedName>
    <definedName name="Apr_Dua1">"#ref!"</definedName>
    <definedName name="Apr_Dua2">"#ref!"</definedName>
    <definedName name="Apr_Hantu">"#ref!"</definedName>
    <definedName name="Apr_Pane">"#ref!"</definedName>
    <definedName name="Apr_Poncan">"#ref!"</definedName>
    <definedName name="Apr_Raso">"#ref!"</definedName>
    <definedName name="Apr_Sibintang">"#ref!"</definedName>
    <definedName name="Apr_Sibuluh">"#ref!"</definedName>
    <definedName name="Apr_Ujung">"#ref!"</definedName>
    <definedName name="april">#REF!</definedName>
    <definedName name="ASBER_GELOMBANG">'[16]Hrg Bahan'!$N$166</definedName>
    <definedName name="ASBES_GENTENG">'[16]Hrg Bahan'!#REF!</definedName>
    <definedName name="ASBES_PLAT_HAPL">'[16]Hrg Bahan'!#REF!</definedName>
    <definedName name="asdasd">#REF!</definedName>
    <definedName name="ASPAL">'[10]Kuantitas &amp; Harga'!#REF!</definedName>
    <definedName name="ATAP">#REF!</definedName>
    <definedName name="ATAP_GENTENG">[16]Analisa!#REF!</definedName>
    <definedName name="ATAP_SPANDEK">'[16]Hrg Bahan'!#REF!</definedName>
    <definedName name="ATAP_TLS">'[16]Hrg Bahan'!#REF!</definedName>
    <definedName name="ATB_Hampar">#N/A</definedName>
    <definedName name="ATB_Prod">#N/A</definedName>
    <definedName name="Aug_All">"#ref!"</definedName>
    <definedName name="Aug_Bahapal">"#ref!"</definedName>
    <definedName name="Aug_Barumun">"#ref!"</definedName>
    <definedName name="Aug_Buaya">"#ref!"</definedName>
    <definedName name="Aug_Dua1">"#ref!"</definedName>
    <definedName name="Aug_Dua2">"#ref!"</definedName>
    <definedName name="Aug_Hantu">"#ref!"</definedName>
    <definedName name="Aug_Pane">"#ref!"</definedName>
    <definedName name="Aug_Poncan">"#ref!"</definedName>
    <definedName name="Aug_Raso">"#ref!"</definedName>
    <definedName name="Aug_Sibintang">"#ref!"</definedName>
    <definedName name="Aug_Sibuluh">"#ref!"</definedName>
    <definedName name="Aug_Ujung">"#ref!"</definedName>
    <definedName name="B">[13]RAB!#REF!</definedName>
    <definedName name="B_DINDING">[16]Analisa!#REF!</definedName>
    <definedName name="B_KOLOM">[16]Analisa!#REF!</definedName>
    <definedName name="B_PLAT">[16]Analisa!#REF!</definedName>
    <definedName name="B_PONDASI">[16]Analisa!#REF!</definedName>
    <definedName name="B_RINGBALK">[16]Analisa!#REF!</definedName>
    <definedName name="B_SLOEF">[16]Analisa!#REF!</definedName>
    <definedName name="B_TANGGA">[16]Analisa!#REF!</definedName>
    <definedName name="BADAK_20X20">'[16]Hrg Bahan'!#REF!</definedName>
    <definedName name="BADAK_30X30">'[16]Hrg Bahan'!#REF!</definedName>
    <definedName name="BAHAN">[20]ANALISA.T!#REF!</definedName>
    <definedName name="bahan.">[21]HBU!$E$8:$E$592</definedName>
    <definedName name="BAHU">'[10]Kuantitas &amp; Harga'!#REF!</definedName>
    <definedName name="BAJA_C_">'[16]Hrg Bahan'!#REF!</definedName>
    <definedName name="BAJA_I">'[16]Hrg Bahan'!#REF!</definedName>
    <definedName name="BAJA_IWF_100">'[16]Hrg Bahan'!#REF!</definedName>
    <definedName name="BAJA_IWF_198">'[16]Hrg Bahan'!#REF!</definedName>
    <definedName name="BAJA_KONSTRUKSI">'[16]Hrg Bahan'!#REF!</definedName>
    <definedName name="BAJA_L">'[16]Hrg Bahan'!#REF!</definedName>
    <definedName name="BajaU32Polos">"#ref!"</definedName>
    <definedName name="BAK_MANDI_60X60">'[16]Hrg Bahan'!$N$186</definedName>
    <definedName name="BAK_MANDI_FIBER">'[16]Hrg Bahan'!#REF!</definedName>
    <definedName name="BAK_MANDI_PLAS">'[16]Hrg Bahan'!#REF!</definedName>
    <definedName name="BAK_MANDI_POR">'[16]Hrg Bahan'!#REF!</definedName>
    <definedName name="BALOK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ALOK_I">'[16]Hrg Bahan'!$N$26</definedName>
    <definedName name="BALOK_II">'[16]Hrg Bahan'!$N$30</definedName>
    <definedName name="BATH_TUB">'[16]Hrg Bahan'!#REF!</definedName>
    <definedName name="batu">[12]harga!$F$34</definedName>
    <definedName name="BATU_KOSONG">[16]Analisa!#REF!</definedName>
    <definedName name="BATUBETON">[22]RAB01!#REF!</definedName>
    <definedName name="BAUT___VISER">'[16]Hrg Bahan'!#REF!</definedName>
    <definedName name="BAUT_BAJA">'[16]Hrg Bahan'!#REF!</definedName>
    <definedName name="bb">#REF!</definedName>
    <definedName name="bbb">#REF!</definedName>
    <definedName name="BBG_ASBES_GEL">'[16]Hrg Bahan'!#REF!</definedName>
    <definedName name="BBG_ASBES_GEN">'[16]Hrg Bahan'!#REF!</definedName>
    <definedName name="BBG_ASBES_GEN_W">'[16]Hrg Bahan'!#REF!</definedName>
    <definedName name="BBG_GTG_BETON">'[16]Hrg Bahan'!$N$169</definedName>
    <definedName name="BBG_GTG_KERAMIK">'[16]Hrg Bahan'!#REF!</definedName>
    <definedName name="BBG_GTG_METAL">'[16]Hrg Bahan'!#REF!</definedName>
    <definedName name="BBG_GTG_STEEL">'[16]Hrg Bahan'!#REF!</definedName>
    <definedName name="besi">[12]harga!$F$62</definedName>
    <definedName name="BESI_BETON">'[16]Hrg Bahan'!#REF!</definedName>
    <definedName name="BESI_STRIP_3">'[16]Hrg Bahan'!#REF!</definedName>
    <definedName name="besi10">[23]Sheet1!$U$3</definedName>
    <definedName name="BESI14">'[16]Hrg Bahan'!$N$88</definedName>
    <definedName name="besi16">[23]Sheet1!$R$3</definedName>
    <definedName name="BESI19">'[16]Hrg Bahan'!#REF!</definedName>
    <definedName name="BESI25">'[16]Hrg Bahan'!#REF!</definedName>
    <definedName name="BESI4">'[16]Hrg Bahan'!#REF!</definedName>
    <definedName name="BET_NON_STRUK">#REF!</definedName>
    <definedName name="beton" hidden="1">'[24]Div2'!$G$12:$G$20</definedName>
    <definedName name="BetonK175">#N/A</definedName>
    <definedName name="BetonK250">"#ref!"</definedName>
    <definedName name="bg">'[25]hrg-jadi'!$H$21</definedName>
    <definedName name="bhn">#REF!</definedName>
    <definedName name="BHN.MAROS">#REF!</definedName>
    <definedName name="bhn.maros1">#REF!</definedName>
    <definedName name="bhn.pangkep">#REF!</definedName>
    <definedName name="BIASA_1_4">[16]Analisa!#REF!</definedName>
    <definedName name="BIAYA_PENYAM">'[16]Hrg Bahan'!#REF!</definedName>
    <definedName name="BJLS.020_LICIN">'[16]Hrg Bahan'!#REF!</definedName>
    <definedName name="BJLS.020_PLAT">'[16]Hrg Bahan'!$N$157</definedName>
    <definedName name="bnb">#REF!</definedName>
    <definedName name="BOHLAM_MINI">'[16]Hrg Bahan'!#REF!</definedName>
    <definedName name="BOSOWA_40">'[16]Hrg Bahan'!#REF!</definedName>
    <definedName name="BOSOWA_50">'[16]Hrg Bahan'!#REF!</definedName>
    <definedName name="BOUWPLANK">[16]Analisa!#REF!</definedName>
    <definedName name="BOX_METER">'[16]Hrg Bahan'!#REF!</definedName>
    <definedName name="BOX_ROLL_DOOR">'[16]Hrg Bahan'!#REF!</definedName>
    <definedName name="BRIKET">'[16]Hrg Bahan'!#REF!</definedName>
    <definedName name="Bronjong">#N/A</definedName>
    <definedName name="BT._PECAH_0_5_1">'[16]Hrg Bahan'!#REF!</definedName>
    <definedName name="BT.BATA">'[16]Hrg Bahan'!$N$23</definedName>
    <definedName name="BT.GUNUNG">'[16]Hrg Bahan'!$N$8</definedName>
    <definedName name="BT.GUNUNG_1.3">[16]Analisa!#REF!</definedName>
    <definedName name="BT.KALI">'[16]Hrg Bahan'!#REF!</definedName>
    <definedName name="BT.PECAH_10_15">'[16]Hrg Bahan'!#REF!</definedName>
    <definedName name="BT.PECAH_2_3">'[16]Hrg Bahan'!$N$9</definedName>
    <definedName name="BT.PECAH_3_5">'[16]Hrg Bahan'!#REF!</definedName>
    <definedName name="BT.PECAH_5_7">'[16]Hrg Bahan'!#REF!</definedName>
    <definedName name="BT.PECAH_7_10">'[16]Hrg Bahan'!#REF!</definedName>
    <definedName name="BT_GUNUNG_1.4">[16]Analisa!#REF!</definedName>
    <definedName name="BT_GUNUNG_1.5">[16]Analisa!#REF!</definedName>
    <definedName name="BT_GUNUNG_1_5">[16]Analisa!#REF!</definedName>
    <definedName name="bt_merah">'[25]hrg-jadi'!$H$30</definedName>
    <definedName name="Bt_Pecah">#N/A</definedName>
    <definedName name="BUBUNGAN_SENG">'[16]Hrg Bahan'!#REF!</definedName>
    <definedName name="BUBUNGAN_TLS">'[16]Hrg Bahan'!#REF!</definedName>
    <definedName name="BULLDOZER">#REF!</definedName>
    <definedName name="C.">[13]RAB!#REF!</definedName>
    <definedName name="C._TEMBOK_KEDAP">'[16]Hrg Bahan'!#REF!</definedName>
    <definedName name="CampAspalMinor">"#ref!"</definedName>
    <definedName name="CAT">#REF!</definedName>
    <definedName name="CAT_ANTI_LUMUT">'[16]Hrg Bahan'!#REF!</definedName>
    <definedName name="CAT_ASBES">'[16]Hrg Bahan'!#REF!</definedName>
    <definedName name="CAT_ATAP">[16]Analisa!#REF!</definedName>
    <definedName name="CAT_BESI">'[16]Hrg Bahan'!#REF!</definedName>
    <definedName name="CAT_DINDING_BARU">[16]Analisa!#REF!</definedName>
    <definedName name="CAT_DINDING_LAMA">[16]Analisa!#REF!</definedName>
    <definedName name="CAT_GENTENG">'[16]Hrg Bahan'!#REF!</definedName>
    <definedName name="CAT_JEMBATAN">'[16]Hrg Bahan'!#REF!</definedName>
    <definedName name="CAT_KAYU_LAMA">[16]Analisa!#REF!</definedName>
    <definedName name="CAT_MINYAK_FIL">'[16]Hrg Bahan'!#REF!</definedName>
    <definedName name="CAT_MINYAK_STAI">'[16]Hrg Bahan'!#REF!</definedName>
    <definedName name="CAT_MOBILEX">'[16]Hrg Bahan'!#REF!</definedName>
    <definedName name="CAT_SANDING">'[16]Hrg Bahan'!#REF!</definedName>
    <definedName name="CAT_SENG">'[16]Hrg Bahan'!#REF!</definedName>
    <definedName name="CAT_TEMBOK_EKS">'[16]Hrg Bahan'!#REF!</definedName>
    <definedName name="CAT_TEMBOK_IN">'[16]Hrg Bahan'!#REF!</definedName>
    <definedName name="CCC">[13]RAB!#REF!</definedName>
    <definedName name="CCCC" hidden="1">#REF!</definedName>
    <definedName name="CCO2_Div1_Bahapal">"#ref!"</definedName>
    <definedName name="CCO2_Div1_Barumun">"#ref!"</definedName>
    <definedName name="CCO2_Div1_Buaya">"#ref!"</definedName>
    <definedName name="CCO2_Div1_Dua1">"#ref!"</definedName>
    <definedName name="CCO2_Div1_Dua2">"#ref!"</definedName>
    <definedName name="CCO2_Div1_Hantu">"#ref!"</definedName>
    <definedName name="CCO2_Div1_Pane">"#ref!"</definedName>
    <definedName name="CCO2_Div1_Poncan">"#ref!"</definedName>
    <definedName name="CCO2_Div1_Raso">"#ref!"</definedName>
    <definedName name="CCO2_Div1_Sibintang">"#ref!"</definedName>
    <definedName name="CCO2_Div1_Sibuluh">"#ref!"</definedName>
    <definedName name="CCO2_Div1_Total">"#ref!"</definedName>
    <definedName name="CCO2_Div1_Ujung">"#ref!"</definedName>
    <definedName name="CCO2_Div2_Bahapal">"#ref!"</definedName>
    <definedName name="CCO2_Div2_Barumun">"#ref!"</definedName>
    <definedName name="CCO2_Div2_Buaya">"#ref!"</definedName>
    <definedName name="CCO2_Div2_Dua1">"#ref!"</definedName>
    <definedName name="CCO2_Div2_Dua2">"#ref!"</definedName>
    <definedName name="CCO2_Div2_Hantu">"#ref!"</definedName>
    <definedName name="CCO2_Div2_Pane">"#ref!"</definedName>
    <definedName name="CCO2_Div2_Poncan">"#ref!"</definedName>
    <definedName name="CCO2_Div2_Raso">"#ref!"</definedName>
    <definedName name="CCO2_Div2_Sibintang">"#ref!"</definedName>
    <definedName name="CCO2_Div2_Sibuluh">"#ref!"</definedName>
    <definedName name="CCO2_Div2_Total">"#ref!"</definedName>
    <definedName name="CCO2_Div2_Ujung">"#ref!"</definedName>
    <definedName name="CCO2_Div3_Bahapal">"#ref!"</definedName>
    <definedName name="CCO2_Div3_Barumun">"#ref!"</definedName>
    <definedName name="CCO2_Div3_Buaya">"#ref!"</definedName>
    <definedName name="CCO2_Div3_Dua1">"#ref!"</definedName>
    <definedName name="CCO2_Div3_Dua2">"#ref!"</definedName>
    <definedName name="CCO2_Div3_Hantu">"#ref!"</definedName>
    <definedName name="CCO2_Div3_Pane">"#ref!"</definedName>
    <definedName name="CCO2_Div3_Poncan">"#ref!"</definedName>
    <definedName name="CCO2_Div3_Raso">"#ref!"</definedName>
    <definedName name="CCO2_Div3_Sibintang">"#ref!"</definedName>
    <definedName name="CCO2_Div3_Sibuluh">"#ref!"</definedName>
    <definedName name="CCO2_Div3_Total">"#ref!"</definedName>
    <definedName name="CCO2_Div3_Ujung">"#ref!"</definedName>
    <definedName name="CCO2_Div4_Bahapal">"#ref!"</definedName>
    <definedName name="CCO2_Div4_Barumun">"#ref!"</definedName>
    <definedName name="CCO2_Div4_Buaya">"#ref!"</definedName>
    <definedName name="CCO2_Div4_Dua1">"#ref!"</definedName>
    <definedName name="CCO2_Div4_Dua2">"#ref!"</definedName>
    <definedName name="CCO2_Div4_Hantu">"#ref!"</definedName>
    <definedName name="CCO2_Div4_Pane">"#ref!"</definedName>
    <definedName name="CCO2_Div4_Poncan">"#ref!"</definedName>
    <definedName name="CCO2_Div4_Raso">"#ref!"</definedName>
    <definedName name="CCO2_Div4_Sibintang">"#ref!"</definedName>
    <definedName name="CCO2_Div4_Sibuluh">"#ref!"</definedName>
    <definedName name="CCO2_Div4_Total">"#ref!"</definedName>
    <definedName name="CCO2_Div4_Ujung">"#ref!"</definedName>
    <definedName name="CCO2_Div5_Bahapal">"#ref!"</definedName>
    <definedName name="CCO2_Div5_Barumun">"#ref!"</definedName>
    <definedName name="CCO2_Div5_Buaya">"#ref!"</definedName>
    <definedName name="CCO2_Div5_Dua1">"#ref!"</definedName>
    <definedName name="CCO2_Div5_Dua2">"#ref!"</definedName>
    <definedName name="CCO2_Div5_Hantu">"#ref!"</definedName>
    <definedName name="CCO2_Div5_Pane">"#ref!"</definedName>
    <definedName name="CCO2_Div5_Poncan">"#ref!"</definedName>
    <definedName name="CCO2_Div5_Raso">"#ref!"</definedName>
    <definedName name="CCO2_Div5_Sibintang">"#ref!"</definedName>
    <definedName name="CCO2_Div5_Sibuluh">"#ref!"</definedName>
    <definedName name="CCO2_Div5_Total">"#ref!"</definedName>
    <definedName name="CCO2_Div5_Ujung">"#ref!"</definedName>
    <definedName name="CCO2_Div6_Bahapal">"#ref!"</definedName>
    <definedName name="CCO2_Div6_Barumun">"#ref!"</definedName>
    <definedName name="CCO2_Div6_Buaya">"#ref!"</definedName>
    <definedName name="CCO2_Div6_Dua1">"#ref!"</definedName>
    <definedName name="CCO2_Div6_Dua2">"#ref!"</definedName>
    <definedName name="CCO2_Div6_Hantu">"#ref!"</definedName>
    <definedName name="CCO2_Div6_Pane">"#ref!"</definedName>
    <definedName name="CCO2_Div6_Poncan">"#ref!"</definedName>
    <definedName name="CCO2_Div6_Raso">"#ref!"</definedName>
    <definedName name="CCO2_Div6_Sibintang">"#ref!"</definedName>
    <definedName name="CCO2_Div6_Sibuluh">"#ref!"</definedName>
    <definedName name="CCO2_Div6_Total">"#ref!"</definedName>
    <definedName name="CCO2_Div6_Ujung">"#ref!"</definedName>
    <definedName name="CCO2_Div7_Bahapal">"#ref!"</definedName>
    <definedName name="CCO2_Div7_Barumun">"#ref!"</definedName>
    <definedName name="CCO2_Div7_Buaya">"#ref!"</definedName>
    <definedName name="CCO2_Div7_Dua1">"#ref!"</definedName>
    <definedName name="CCO2_Div7_Dua2">"#ref!"</definedName>
    <definedName name="CCO2_Div7_Hantu">"#ref!"</definedName>
    <definedName name="CCO2_Div7_Pane">"#ref!"</definedName>
    <definedName name="CCO2_Div7_Poncan">"#ref!"</definedName>
    <definedName name="CCO2_Div7_Raso">"#ref!"</definedName>
    <definedName name="CCO2_Div7_Sibintang">"#ref!"</definedName>
    <definedName name="CCO2_Div7_Sibuluh">"#ref!"</definedName>
    <definedName name="CCO2_Div7_Total">"#ref!"</definedName>
    <definedName name="CCO2_Div7_Ujung">"#ref!"</definedName>
    <definedName name="cek">[11]Rek!$H$30</definedName>
    <definedName name="CLOSED_DDK___KR">'[16]Hrg Bahan'!$N$179</definedName>
    <definedName name="CLOSED_DUDUK">'[16]Hrg Bahan'!#REF!</definedName>
    <definedName name="CLOSED_JGK_KIA">'[16]Hrg Bahan'!#REF!</definedName>
    <definedName name="CLOSED_JONGKOK">'[16]Hrg Bahan'!$N$178</definedName>
    <definedName name="COMPRESSOR">#REF!</definedName>
    <definedName name="CONCRETEMIXER">#REF!</definedName>
    <definedName name="CONCRETEVIBRO">#REF!</definedName>
    <definedName name="CRANE">#REF!</definedName>
    <definedName name="D">#REF!</definedName>
    <definedName name="DAFTARSEWA">#REF!</definedName>
    <definedName name="DATAUPAH">'[11]4-Basic Price'!$D$8:$F$38</definedName>
    <definedName name="DAYWORKS">'[10]Kuantitas &amp; Harga'!#REF!</definedName>
    <definedName name="dd" hidden="1">#REF!</definedName>
    <definedName name="dddd" hidden="1">#REF!</definedName>
    <definedName name="ddg_btalam">[16]Analisa!#REF!</definedName>
    <definedName name="Dec_All">"#ref!"</definedName>
    <definedName name="Dec_Bahapal">"#ref!"</definedName>
    <definedName name="Dec_Barumun">"#ref!"</definedName>
    <definedName name="Dec_Buaya">"#ref!"</definedName>
    <definedName name="Dec_Dua1">"#ref!"</definedName>
    <definedName name="Dec_Dua2">"#ref!"</definedName>
    <definedName name="Dec_Hantu">"#ref!"</definedName>
    <definedName name="Dec_Pane">"#ref!"</definedName>
    <definedName name="Dec_Poncan">"#ref!"</definedName>
    <definedName name="Dec_Raso">"#ref!"</definedName>
    <definedName name="Dec_Sibintang">"#ref!"</definedName>
    <definedName name="Dec_Sibuluh">"#ref!"</definedName>
    <definedName name="Dec_Ujung">"#ref!"</definedName>
    <definedName name="Dec02_All">"#ref!"</definedName>
    <definedName name="Dec02_Bahapal">"#ref!"</definedName>
    <definedName name="Dec02_Barumun">"#ref!"</definedName>
    <definedName name="Dec02_Buaya">"#ref!"</definedName>
    <definedName name="Dec02_Dua1">"#ref!"</definedName>
    <definedName name="Dec02_Dua2">"#ref!"</definedName>
    <definedName name="Dec02_Hantu">"#ref!"</definedName>
    <definedName name="Dec02_Pane">"#ref!"</definedName>
    <definedName name="Dec02_Poncan">"#ref!"</definedName>
    <definedName name="Dec02_Raso">"#ref!"</definedName>
    <definedName name="Dec02_Sibintang">"#ref!"</definedName>
    <definedName name="Dec02_Sibuluh">"#ref!"</definedName>
    <definedName name="Dec02_Ujung">"#ref!"</definedName>
    <definedName name="deuicker">#REF!</definedName>
    <definedName name="Dibuat_tgl">#REF!</definedName>
    <definedName name="DINDING">#REF!</definedName>
    <definedName name="DINDING_POLOS_20.25">[16]Analisa!#REF!</definedName>
    <definedName name="Disiapkan_oleh">#REF!</definedName>
    <definedName name="Div1_Bahapal">"#ref!"</definedName>
    <definedName name="Div1_Barumun">"#ref!"</definedName>
    <definedName name="Div1_Buaya">"#ref!"</definedName>
    <definedName name="Div1_Dua1">"#ref!"</definedName>
    <definedName name="Div1_Dua2">"#ref!"</definedName>
    <definedName name="Div1_Hantu">"#ref!"</definedName>
    <definedName name="Div1_Pane">"#ref!"</definedName>
    <definedName name="Div1_Poncan">"#ref!"</definedName>
    <definedName name="Div1_Raso">"#ref!"</definedName>
    <definedName name="Div1_Sibintang">"#ref!"</definedName>
    <definedName name="Div1_Sibuluh">"#ref!"</definedName>
    <definedName name="Div1_Total">"#ref!"</definedName>
    <definedName name="Div1_Ujung">"#ref!"</definedName>
    <definedName name="Div2_Bahapal">"#ref!"</definedName>
    <definedName name="Div2_Barumun">"#ref!"</definedName>
    <definedName name="Div2_Buaya">"#ref!"</definedName>
    <definedName name="Div2_Dua1">"#ref!"</definedName>
    <definedName name="Div2_Dua2">"#ref!"</definedName>
    <definedName name="Div2_Hantu">"#ref!"</definedName>
    <definedName name="Div2_Pane">"#ref!"</definedName>
    <definedName name="Div2_Poncan">"#ref!"</definedName>
    <definedName name="Div2_Raso">"#ref!"</definedName>
    <definedName name="Div2_Sibintang">"#ref!"</definedName>
    <definedName name="Div2_Sibuluh">"#ref!"</definedName>
    <definedName name="Div2_Total">"#ref!"</definedName>
    <definedName name="Div2_Ujung">"#ref!"</definedName>
    <definedName name="Div3_Bahapal">"#ref!"</definedName>
    <definedName name="Div3_Barumun">"#ref!"</definedName>
    <definedName name="Div3_Buaya">"#ref!"</definedName>
    <definedName name="Div3_Dua1">"#ref!"</definedName>
    <definedName name="Div3_Dua2">"#ref!"</definedName>
    <definedName name="Div3_Hantu">"#ref!"</definedName>
    <definedName name="Div3_Pane">"#ref!"</definedName>
    <definedName name="Div3_Poncan">"#ref!"</definedName>
    <definedName name="Div3_Raso">"#ref!"</definedName>
    <definedName name="Div3_Sibintang">"#ref!"</definedName>
    <definedName name="Div3_Sibuluh">"#ref!"</definedName>
    <definedName name="Div3_Total">"#ref!"</definedName>
    <definedName name="Div3_Ujung">"#ref!"</definedName>
    <definedName name="DIV3A" hidden="1">'[6]Div2'!$H$12:$H$20</definedName>
    <definedName name="Div4_Bahapal">"#ref!"</definedName>
    <definedName name="Div4_Barumun">"#ref!"</definedName>
    <definedName name="Div4_Buaya">"#ref!"</definedName>
    <definedName name="Div4_Dua1">"#ref!"</definedName>
    <definedName name="Div4_Dua2">"#ref!"</definedName>
    <definedName name="Div4_Hantu">"#ref!"</definedName>
    <definedName name="Div4_Pane">"#ref!"</definedName>
    <definedName name="Div4_Poncan">"#ref!"</definedName>
    <definedName name="Div4_Raso">"#ref!"</definedName>
    <definedName name="Div4_Sibintang">"#ref!"</definedName>
    <definedName name="Div4_Sibuluh">"#ref!"</definedName>
    <definedName name="Div4_Total">"#ref!"</definedName>
    <definedName name="Div4_Ujung">"#ref!"</definedName>
    <definedName name="Div5_Bahapal">"#ref!"</definedName>
    <definedName name="Div5_Barumun">"#ref!"</definedName>
    <definedName name="Div5_Buaya">"#ref!"</definedName>
    <definedName name="Div5_Dua1">"#ref!"</definedName>
    <definedName name="Div5_Dua2">"#ref!"</definedName>
    <definedName name="Div5_Hantu">"#ref!"</definedName>
    <definedName name="Div5_Pane">"#ref!"</definedName>
    <definedName name="Div5_Poncan">"#ref!"</definedName>
    <definedName name="Div5_Raso">"#ref!"</definedName>
    <definedName name="Div5_Sibintang">"#ref!"</definedName>
    <definedName name="Div5_Sibuluh">"#ref!"</definedName>
    <definedName name="Div5_Total">"#ref!"</definedName>
    <definedName name="Div5_Ujung">"#ref!"</definedName>
    <definedName name="Div6_Bahapal">"#ref!"</definedName>
    <definedName name="Div6_Barumun">"#ref!"</definedName>
    <definedName name="Div6_Buaya">"#ref!"</definedName>
    <definedName name="Div6_Dua1">"#ref!"</definedName>
    <definedName name="Div6_Dua2">"#ref!"</definedName>
    <definedName name="Div6_Hantu">"#ref!"</definedName>
    <definedName name="Div6_Pane">"#ref!"</definedName>
    <definedName name="Div6_Poncan">"#ref!"</definedName>
    <definedName name="Div6_Raso">"#ref!"</definedName>
    <definedName name="Div6_Sibintang">"#ref!"</definedName>
    <definedName name="Div6_Sibuluh">"#ref!"</definedName>
    <definedName name="Div6_Total">"#ref!"</definedName>
    <definedName name="Div6_Ujung">"#ref!"</definedName>
    <definedName name="Div7_Bahapal">"#ref!"</definedName>
    <definedName name="Div7_Barumun">"#ref!"</definedName>
    <definedName name="Div7_Buaya">"#ref!"</definedName>
    <definedName name="Div7_Dua1">"#ref!"</definedName>
    <definedName name="Div7_Dua2">"#ref!"</definedName>
    <definedName name="Div7_Hantu">"#ref!"</definedName>
    <definedName name="Div7_Pane">"#ref!"</definedName>
    <definedName name="Div7_Poncan">"#ref!"</definedName>
    <definedName name="Div7_Raso">"#ref!"</definedName>
    <definedName name="Div7_Sibintang">"#ref!"</definedName>
    <definedName name="Div7_Sibuluh">"#ref!"</definedName>
    <definedName name="Div7_Total">"#ref!"</definedName>
    <definedName name="Div7_Ujung">"#ref!"</definedName>
    <definedName name="dlk">[12]harga!$F$37</definedName>
    <definedName name="DRAINASE">'[10]Kuantitas &amp; Harga'!#REF!</definedName>
    <definedName name="DRYER_LANTAI">'[16]Hrg Bahan'!#REF!</definedName>
    <definedName name="DUMPTRUCK1">#REF!</definedName>
    <definedName name="DUMPTRUCK2">#REF!</definedName>
    <definedName name="E">[13]RAB!#REF!</definedName>
    <definedName name="E.13">#REF!</definedName>
    <definedName name="E_001">#REF!</definedName>
    <definedName name="E_010">#REF!</definedName>
    <definedName name="E_031">#REF!</definedName>
    <definedName name="E_040">#REF!</definedName>
    <definedName name="E_052">#REF!</definedName>
    <definedName name="E_080">#REF!</definedName>
    <definedName name="E_081">#REF!</definedName>
    <definedName name="E_084">#REF!</definedName>
    <definedName name="E_087">#REF!</definedName>
    <definedName name="E_088">#REF!</definedName>
    <definedName name="E_089">#REF!</definedName>
    <definedName name="E_13">#REF!</definedName>
    <definedName name="E_153">#REF!</definedName>
    <definedName name="E_154">#REF!</definedName>
    <definedName name="E_155">#REF!</definedName>
    <definedName name="E_157">#REF!</definedName>
    <definedName name="E_182">#REF!</definedName>
    <definedName name="E_211">#REF!</definedName>
    <definedName name="E_212">#REF!</definedName>
    <definedName name="E_221">#REF!</definedName>
    <definedName name="E_251">#REF!</definedName>
    <definedName name="E_253">#REF!</definedName>
    <definedName name="E_301">#REF!</definedName>
    <definedName name="E_341">#REF!</definedName>
    <definedName name="EEE06REV">'[26]5-Peralatan'!$AW$13</definedName>
    <definedName name="EEE09REV1">'[26]5-Peralatan'!$AW$16</definedName>
    <definedName name="EEE17REV">'[26]5-Peralatan'!$AW$24</definedName>
    <definedName name="EEE17REV1">'[26]5-Peralatan'!$AW$24</definedName>
    <definedName name="ENGSEL_JENDELA">'[16]Hrg Bahan'!#REF!</definedName>
    <definedName name="ENGSEL_PINTU">'[16]Hrg Bahan'!#REF!</definedName>
    <definedName name="ENGSEL_PINTU_LE">'[16]Hrg Bahan'!#REF!</definedName>
    <definedName name="ENGSEL_PINTU_OT">'[16]Hrg Bahan'!#REF!</definedName>
    <definedName name="ETERNIT">'[16]Hrg Bahan'!#REF!</definedName>
    <definedName name="EXCAVATOR">#REF!</definedName>
    <definedName name="Excel_BuiltIn_Print_Area">#N/A</definedName>
    <definedName name="EXHAUSTFUN">'[16]Hrg Bahan'!#REF!</definedName>
    <definedName name="EXPANYOLET_TANA">'[16]Hrg Bahan'!$N$189</definedName>
    <definedName name="F">[13]RAB!#REF!</definedName>
    <definedName name="F.1_I">#REF!</definedName>
    <definedName name="F.1_II">#REF!</definedName>
    <definedName name="F.16">#REF!</definedName>
    <definedName name="F.21_I">#REF!</definedName>
    <definedName name="F.21_II">#REF!</definedName>
    <definedName name="F.22_I">#REF!</definedName>
    <definedName name="F.22_II">#REF!</definedName>
    <definedName name="F.27_I">#REF!</definedName>
    <definedName name="F.27_II">#REF!</definedName>
    <definedName name="F.30_I_TEAK">#REF!</definedName>
    <definedName name="F.30_I_TRIP">#REF!</definedName>
    <definedName name="F.30_II_TEAK">#REF!</definedName>
    <definedName name="F.30_II_TRIP">#REF!</definedName>
    <definedName name="F.31_I">#REF!</definedName>
    <definedName name="F.31_II">#REF!</definedName>
    <definedName name="F.33_I">#REF!</definedName>
    <definedName name="F.33_II">#REF!</definedName>
    <definedName name="F.35_B3">#REF!</definedName>
    <definedName name="F.35_B5">#REF!</definedName>
    <definedName name="F.35_R3">#REF!</definedName>
    <definedName name="F.35_R5">#REF!</definedName>
    <definedName name="F.36_B_I">#REF!</definedName>
    <definedName name="F.36_B_II">#REF!</definedName>
    <definedName name="F.36_R_I">#REF!</definedName>
    <definedName name="F.36_R_II">#REF!</definedName>
    <definedName name="F.36A_I">#REF!</definedName>
    <definedName name="F.36A_II">#REF!</definedName>
    <definedName name="F.37_P_I">#REF!</definedName>
    <definedName name="F.37_P_II">#REF!</definedName>
    <definedName name="F.37_T">#REF!</definedName>
    <definedName name="F.37_TEAK">#REF!</definedName>
    <definedName name="F.38_I">#REF!</definedName>
    <definedName name="F.38_II">#REF!</definedName>
    <definedName name="F.47_I">#REF!</definedName>
    <definedName name="F.47_II">#REF!</definedName>
    <definedName name="Feb_All">"#ref!"</definedName>
    <definedName name="Feb_Bahapal">"#ref!"</definedName>
    <definedName name="Feb_Barumun">"#ref!"</definedName>
    <definedName name="Feb_Buaya">"#ref!"</definedName>
    <definedName name="Feb_Dua1">"#ref!"</definedName>
    <definedName name="Feb_Dua2">"#ref!"</definedName>
    <definedName name="Feb_Hantu">"#ref!"</definedName>
    <definedName name="Feb_Pane">"#ref!"</definedName>
    <definedName name="Feb_Poncan">"#ref!"</definedName>
    <definedName name="Feb_Raso">"#ref!"</definedName>
    <definedName name="Feb_Sibintang">"#ref!"</definedName>
    <definedName name="Feb_Sibuluh">"#ref!"</definedName>
    <definedName name="Feb_Ujung">"#ref!"</definedName>
    <definedName name="FFF">#REF!</definedName>
    <definedName name="FINISHER">#REF!</definedName>
    <definedName name="FINISHING">#REF!</definedName>
    <definedName name="FLATBEDTRUCK">#REF!</definedName>
    <definedName name="FLUG_KRAN_1_2">'[16]Hrg Bahan'!#REF!</definedName>
    <definedName name="FORM21">'[27]3-DIV2'!$L$1:$V$61</definedName>
    <definedName name="FORM22E">'[27]3-DIV2'!#REF!</definedName>
    <definedName name="FORM22L">'[27]3-DIV2'!$L$121:$V$121</definedName>
    <definedName name="FORM231">'[27]3-DIV2'!$L$123:$V$183</definedName>
    <definedName name="FORM232">'[27]3-DIV2'!$L$243:$V$303</definedName>
    <definedName name="FORM233">'[27]3-DIV2'!$L$363:$V$423</definedName>
    <definedName name="Form234">'[27]3-DIV2'!$L$483:$V$543</definedName>
    <definedName name="Form235">'[27]3-DIV2'!$L$603:$V$663</definedName>
    <definedName name="Form236">'[27]3-DIV2'!$L$854:$V$914</definedName>
    <definedName name="FORM241">'[27]3-DIV2'!#REF!</definedName>
    <definedName name="FORM242">'[27]3-DIV2'!$L$978:$V$1038</definedName>
    <definedName name="FORM243">'[27]3-DIV2'!$L$1039:$V$1100</definedName>
    <definedName name="FORM311">"#ref!"</definedName>
    <definedName name="FORM312">"#ref!"</definedName>
    <definedName name="FORM313">"#ref!"</definedName>
    <definedName name="FORM314">"#ref!"</definedName>
    <definedName name="FORM315">"#ref!"</definedName>
    <definedName name="FORM319">"#ref!"</definedName>
    <definedName name="FORM322">"#ref!"</definedName>
    <definedName name="FORM323">"#ref!"</definedName>
    <definedName name="FORM323L">#REF!</definedName>
    <definedName name="FORM324">"#ref!"</definedName>
    <definedName name="FORM331">"#ref!"</definedName>
    <definedName name="FORM346">"#ref!"</definedName>
    <definedName name="FORM421">'[28]3-DIV4'!$L$1:$V$61</definedName>
    <definedName name="FORM422">'[28]3-DIV4'!$L$180:$V$240</definedName>
    <definedName name="FORM423">'[28]3-DIV4'!$L$479:$V$539</definedName>
    <definedName name="FORM424">'[28]3-DIV4'!$L$359:$V$419</definedName>
    <definedName name="FORM425">'[28]3-DIV4'!$L$718:$V$778</definedName>
    <definedName name="FORM426">'[28]3-DIV4'!$L$897:$V$957</definedName>
    <definedName name="FORM427">'[28]3-DIV4'!$L$1017:$V$1077</definedName>
    <definedName name="FORM511">"#ref!"</definedName>
    <definedName name="FORM512">"#ref!"</definedName>
    <definedName name="FORM521">"#ref!"</definedName>
    <definedName name="FORM522">"#ref!"</definedName>
    <definedName name="FORM541">"#ref!"</definedName>
    <definedName name="FORM542">"#ref!"</definedName>
    <definedName name="FORM611">#REF!</definedName>
    <definedName name="FORM612">#REF!</definedName>
    <definedName name="FORM621">#REF!</definedName>
    <definedName name="FORM622">#REF!</definedName>
    <definedName name="FORM623">#REF!</definedName>
    <definedName name="FORM631">#REF!</definedName>
    <definedName name="FORM632">#REF!</definedName>
    <definedName name="FORM633">#REF!</definedName>
    <definedName name="FORM634">#REF!</definedName>
    <definedName name="FORM635">#REF!</definedName>
    <definedName name="FORM635A">#REF!</definedName>
    <definedName name="FORM636">#REF!</definedName>
    <definedName name="FORM641L">#REF!</definedName>
    <definedName name="FORM642">#REF!</definedName>
    <definedName name="FORM65">#REF!</definedName>
    <definedName name="FORM66PERATA">#REF!</definedName>
    <definedName name="FORM66PERMUKAAN">#REF!</definedName>
    <definedName name="FORM7101">#REF!</definedName>
    <definedName name="FORM7102">#REF!</definedName>
    <definedName name="FORM7103">#REF!</definedName>
    <definedName name="FORM711">#REF!</definedName>
    <definedName name="FORM712">#REF!</definedName>
    <definedName name="FORM713">#REF!</definedName>
    <definedName name="FORM714">#REF!</definedName>
    <definedName name="FORM715">#REF!</definedName>
    <definedName name="FORM716">#REF!</definedName>
    <definedName name="FORM717">#REF!</definedName>
    <definedName name="FORM718">#REF!</definedName>
    <definedName name="FORM721">#REF!</definedName>
    <definedName name="FORM731">#REF!</definedName>
    <definedName name="FORM732">#REF!</definedName>
    <definedName name="FORM733">#REF!</definedName>
    <definedName name="FORM734">#REF!</definedName>
    <definedName name="FORM735">#REF!</definedName>
    <definedName name="FORM744">#REF!</definedName>
    <definedName name="FORM745">#REF!</definedName>
    <definedName name="FORM7610">#REF!</definedName>
    <definedName name="FORM7612a">#REF!</definedName>
    <definedName name="FORM7612b">#REF!</definedName>
    <definedName name="FORM7612c">#REF!</definedName>
    <definedName name="FORM7613a">#REF!</definedName>
    <definedName name="FORM7613b">#REF!</definedName>
    <definedName name="FORM7613c">#REF!</definedName>
    <definedName name="FORM7614a">#REF!</definedName>
    <definedName name="FORM7614b">#REF!</definedName>
    <definedName name="FORM7614c">#REF!</definedName>
    <definedName name="FORM7614d">#REF!</definedName>
    <definedName name="FORM7614e">#REF!</definedName>
    <definedName name="FORM7618">#REF!</definedName>
    <definedName name="FORM7619">#REF!</definedName>
    <definedName name="FORM768">#REF!</definedName>
    <definedName name="FORM769">#REF!</definedName>
    <definedName name="FORM76X">#REF!</definedName>
    <definedName name="FORM771a">#REF!</definedName>
    <definedName name="FORM771b">#REF!</definedName>
    <definedName name="FORM771c">#REF!</definedName>
    <definedName name="FORM771d">#REF!</definedName>
    <definedName name="FORM772a">#REF!</definedName>
    <definedName name="FORM772b">#REF!</definedName>
    <definedName name="FORM772c">#REF!</definedName>
    <definedName name="FORM772d">#REF!</definedName>
    <definedName name="FORM79manual">#REF!</definedName>
    <definedName name="FORM79mekanis">#REF!</definedName>
    <definedName name="FORM811">#REF!</definedName>
    <definedName name="FORM812">#REF!</definedName>
    <definedName name="FORM813">#REF!</definedName>
    <definedName name="FORM814">#REF!</definedName>
    <definedName name="FORM815">#REF!</definedName>
    <definedName name="FORM817">#REF!</definedName>
    <definedName name="FORM818">#REF!</definedName>
    <definedName name="FORM819">#REF!</definedName>
    <definedName name="FORM82">#REF!</definedName>
    <definedName name="FORM841">#REF!</definedName>
    <definedName name="FORM8410">#REF!</definedName>
    <definedName name="FORM842">#REF!</definedName>
    <definedName name="FORM844">#REF!</definedName>
    <definedName name="FORM845">#REF!</definedName>
    <definedName name="FORM846">#REF!</definedName>
    <definedName name="FORM847">#REF!</definedName>
    <definedName name="FORMGEOTEKSTIL">#REF!</definedName>
    <definedName name="FRRDS">#REF!</definedName>
    <definedName name="FULVIMIXER">#REF!</definedName>
    <definedName name="G">[13]RAB!#REF!</definedName>
    <definedName name="G.14">#REF!</definedName>
    <definedName name="G.16">#REF!</definedName>
    <definedName name="G.2">#REF!</definedName>
    <definedName name="G.32H">#REF!</definedName>
    <definedName name="G.32K">#REF!</definedName>
    <definedName name="G.32L">#REF!</definedName>
    <definedName name="G.33F">#REF!</definedName>
    <definedName name="G.33H">#REF!</definedName>
    <definedName name="G.33I">#REF!</definedName>
    <definedName name="G.33L">#REF!</definedName>
    <definedName name="G.44">#REF!</definedName>
    <definedName name="G.50H">#REF!</definedName>
    <definedName name="G.50I">#REF!</definedName>
    <definedName name="G.50J">#REF!</definedName>
    <definedName name="G.50K">#REF!</definedName>
    <definedName name="G.50O">#REF!</definedName>
    <definedName name="G.50P">#REF!</definedName>
    <definedName name="G.51C">#REF!</definedName>
    <definedName name="G.51D">#REF!</definedName>
    <definedName name="G.53">#REF!</definedName>
    <definedName name="G.53A">#REF!</definedName>
    <definedName name="G.55B">#REF!</definedName>
    <definedName name="G.55C">#REF!</definedName>
    <definedName name="G.5A">#REF!</definedName>
    <definedName name="G.5B">#REF!</definedName>
    <definedName name="G.5C">#REF!</definedName>
    <definedName name="G.6">#REF!</definedName>
    <definedName name="G.67">#REF!</definedName>
    <definedName name="G.72_20X20">#REF!</definedName>
    <definedName name="g.72_20x25">'[29]HrgBahan&amp;Analisa'!$W$806</definedName>
    <definedName name="G.72_30X30">#REF!</definedName>
    <definedName name="G.72_M_30X30">#REF!</definedName>
    <definedName name="G_1">#REF!</definedName>
    <definedName name="G_50m">#REF!</definedName>
    <definedName name="G_53A">#REF!</definedName>
    <definedName name="G_72b">#REF!</definedName>
    <definedName name="Gali_Saluran">"#ref!"</definedName>
    <definedName name="Galian">#N/A</definedName>
    <definedName name="Galian_Biasa">"#ref!"</definedName>
    <definedName name="GAMACCA">'[16]Hrg Bahan'!#REF!</definedName>
    <definedName name="GANITO_10X40">[16]Analisa!#REF!</definedName>
    <definedName name="GARNITO_30X30">[16]Analisa!#REF!</definedName>
    <definedName name="GENSET">#REF!</definedName>
    <definedName name="GENTENG_BETON">'[16]Hrg Bahan'!#REF!</definedName>
    <definedName name="GENTENG_KERAMIK">'[16]Hrg Bahan'!#REF!</definedName>
    <definedName name="GENTENG_KODOK">'[16]Hrg Bahan'!#REF!</definedName>
    <definedName name="GENTENG_METAL">'[16]Hrg Bahan'!#REF!</definedName>
    <definedName name="GERENDEL">'[16]Hrg Bahan'!#REF!</definedName>
    <definedName name="GEROBAK">'[16]Hrg Bahan'!#REF!</definedName>
    <definedName name="ggg">'[15]Analisa K'!#REF!</definedName>
    <definedName name="gibsum_12">'[25]hrg-jadi'!$H$362</definedName>
    <definedName name="GIP_A_DIA.3">'[16]Hrg Bahan'!$N$213</definedName>
    <definedName name="GIP_A_DIA.4">'[16]Hrg Bahan'!$N$212</definedName>
    <definedName name="GIP_B_DIA.1">'[16]Hrg Bahan'!#REF!</definedName>
    <definedName name="GIP_B_DIA.1_2">'[16]Hrg Bahan'!#REF!</definedName>
    <definedName name="GIP_B_DIA.1_5">'[16]Hrg Bahan'!$N$223</definedName>
    <definedName name="GIP_B_DIA.2">'[16]Hrg Bahan'!#REF!</definedName>
    <definedName name="GIP_B_DIA.3">'[16]Hrg Bahan'!#REF!</definedName>
    <definedName name="GIP_B_DIA.3_4">'[16]Hrg Bahan'!#REF!</definedName>
    <definedName name="GIP_B_DIA.4">'[16]Hrg Bahan'!#REF!</definedName>
    <definedName name="GLASS_BLOCK">'[16]Hrg Bahan'!#REF!</definedName>
    <definedName name="GORONG_100">'[16]Hrg Bahan'!#REF!</definedName>
    <definedName name="GORONG_60">'[16]Hrg Bahan'!#REF!</definedName>
    <definedName name="GORONG_80">'[16]Hrg Bahan'!#REF!</definedName>
    <definedName name="GRADER">#REF!</definedName>
    <definedName name="GRANIT_40X40">[16]Analisa!#REF!</definedName>
    <definedName name="GRANITO_20X20">[16]Analisa!#REF!</definedName>
    <definedName name="GRANITO_40X40">[16]Analisa!#REF!</definedName>
    <definedName name="GTG_HAPLES_GEL_">'[16]Hrg Bahan'!$N$165</definedName>
    <definedName name="GTG_HAPLES_WAR">'[16]Hrg Bahan'!#REF!</definedName>
    <definedName name="H">[13]RAB!#REF!</definedName>
    <definedName name="H.10_ASBES">#REF!</definedName>
    <definedName name="H.10_SENG">#REF!</definedName>
    <definedName name="H.14_KARET">#REF!</definedName>
    <definedName name="H.14_SENG_PLAT">#REF!</definedName>
    <definedName name="H.17_KARET">#REF!</definedName>
    <definedName name="H.17_SENG_PLAT">#REF!</definedName>
    <definedName name="H.2">#REF!</definedName>
    <definedName name="H.6">#REF!</definedName>
    <definedName name="H.8_AS_GEL">#REF!</definedName>
    <definedName name="H.8_AS_GEN">#REF!</definedName>
    <definedName name="H.8_SENG">#REF!</definedName>
    <definedName name="HAK_ANGIN">'[16]Hrg Bahan'!#REF!</definedName>
    <definedName name="HANDEL_ROLLING">'[16]Hrg Bahan'!#REF!</definedName>
    <definedName name="HARGA">#REF!</definedName>
    <definedName name="hargasatuan">#REF!</definedName>
    <definedName name="hari">#N/A</definedName>
    <definedName name="hlll" hidden="1">#REF!</definedName>
    <definedName name="hrg_dsr">#REF!</definedName>
    <definedName name="hrgsat">'[30]ANALISA-SNI'!$J$1575:$S$1769</definedName>
    <definedName name="HRS_Base">"#ref!"</definedName>
    <definedName name="HRS_Hampar">#N/A</definedName>
    <definedName name="HRS_Prod">#N/A</definedName>
    <definedName name="HRS_WC">"#ref!"</definedName>
    <definedName name="HTML_CodePage" hidden="1">1252</definedName>
    <definedName name="HTML_Control" hidden="1">{"'Sheet1'!$A$1"}</definedName>
    <definedName name="HTML_Description" hidden="1">""</definedName>
    <definedName name="HTML_Email" hidden="1">""</definedName>
    <definedName name="HTML_Header" hidden="1">"Sheet1"</definedName>
    <definedName name="HTML_LastUpdate" hidden="1">"4/12/01"</definedName>
    <definedName name="HTML_LineAfter" hidden="1">FALSE</definedName>
    <definedName name="HTML_LineBefore" hidden="1">FALSE</definedName>
    <definedName name="HTML_Name" hidden="1">"TJ 2000"</definedName>
    <definedName name="HTML_OBDlg2" hidden="1">TRUE</definedName>
    <definedName name="HTML_OBDlg4" hidden="1">TRUE</definedName>
    <definedName name="HTML_OS" hidden="1">0</definedName>
    <definedName name="HTML_PathFile" hidden="1">"C:\WINDOWS\Favorites\MyHTML.htm"</definedName>
    <definedName name="HTML_Title" hidden="1">"Book1"</definedName>
    <definedName name="html1" hidden="1">{"'Sheet1'!$A$1"}</definedName>
    <definedName name="I">[13]RAB!#REF!</definedName>
    <definedName name="ii">[14]RAB!#REF!</definedName>
    <definedName name="iii">[14]RAB!#REF!</definedName>
    <definedName name="IJUK_HITAM">'[16]Hrg Bahan'!#REF!</definedName>
    <definedName name="IJUK_HITAM_BAIK">'[16]Hrg Bahan'!#REF!</definedName>
    <definedName name="INSTALASI_LISTRIK">#REF!</definedName>
    <definedName name="ISOLASI_PIPA">'[16]Hrg Bahan'!#REF!</definedName>
    <definedName name="iv">[14]RAB!#REF!</definedName>
    <definedName name="JACKHAMMER">#REF!</definedName>
    <definedName name="JALUSI">[16]Analisa!#REF!</definedName>
    <definedName name="JAM">#REF!</definedName>
    <definedName name="JAMER">#REF!</definedName>
    <definedName name="Jan_All">"#ref!"</definedName>
    <definedName name="Jan_Bahapal">"#ref!"</definedName>
    <definedName name="Jan_Barumun">"#ref!"</definedName>
    <definedName name="Jan_Buaya">"#ref!"</definedName>
    <definedName name="Jan_Dua1">"#ref!"</definedName>
    <definedName name="Jan_Dua2">"#ref!"</definedName>
    <definedName name="Jan_Hantu">"#ref!"</definedName>
    <definedName name="Jan_Pane">"#ref!"</definedName>
    <definedName name="Jan_Poncan">"#ref!"</definedName>
    <definedName name="Jan_Raso">"#ref!"</definedName>
    <definedName name="Jan_Sibintang">"#ref!"</definedName>
    <definedName name="Jan_Sibuluh">"#ref!"</definedName>
    <definedName name="Jan_Ujung">"#ref!"</definedName>
    <definedName name="Jan02_Dua1">"#ref!"</definedName>
    <definedName name="Jan02_Pane">"#ref!"</definedName>
    <definedName name="Jan03_All">"#ref!"</definedName>
    <definedName name="Jan03_Bahapal">"#ref!"</definedName>
    <definedName name="Jan03_Barumun">"#ref!"</definedName>
    <definedName name="Jan03_Buaya">"#ref!"</definedName>
    <definedName name="Jan03_Dua2">"#ref!"</definedName>
    <definedName name="Jan03_Hantu">"#ref!"</definedName>
    <definedName name="Jan03_Poncan">"#ref!"</definedName>
    <definedName name="Jan03_Raso">"#ref!"</definedName>
    <definedName name="Jan03_Sibintang">"#ref!"</definedName>
    <definedName name="Jan03_Sibuluh">"#ref!"</definedName>
    <definedName name="Jan03_Ujung">"#ref!"</definedName>
    <definedName name="JENDELA">[16]Analisa!#REF!</definedName>
    <definedName name="JERIGEN_10_LTR">'[16]Hrg Bahan'!#REF!</definedName>
    <definedName name="JERIGEN_20_LTR">'[16]Hrg Bahan'!#REF!</definedName>
    <definedName name="jml">#REF!</definedName>
    <definedName name="Jul_All">"#ref!"</definedName>
    <definedName name="Jul_Bahapal">"#ref!"</definedName>
    <definedName name="Jul_Barumun">"#ref!"</definedName>
    <definedName name="Jul_Buaya">"#ref!"</definedName>
    <definedName name="Jul_Dua1">"#ref!"</definedName>
    <definedName name="Jul_Dua2">"#ref!"</definedName>
    <definedName name="Jul_Hantu">"#ref!"</definedName>
    <definedName name="Jul_Pane">"#ref!"</definedName>
    <definedName name="Jul_Poncan">"#ref!"</definedName>
    <definedName name="Jul_Raso">"#ref!"</definedName>
    <definedName name="Jul_Sibintang">"#ref!"</definedName>
    <definedName name="Jul_Sibuluh">"#ref!"</definedName>
    <definedName name="Jul_Ujung">"#ref!"</definedName>
    <definedName name="Jun_All">"#ref!"</definedName>
    <definedName name="Jun_Bahapal">"#ref!"</definedName>
    <definedName name="Jun_Barumun">"#ref!"</definedName>
    <definedName name="Jun_Buaya">"#ref!"</definedName>
    <definedName name="Jun_Dua1">"#ref!"</definedName>
    <definedName name="Jun_Dua2">"#ref!"</definedName>
    <definedName name="Jun_Hantu">"#ref!"</definedName>
    <definedName name="Jun_Pane">"#ref!"</definedName>
    <definedName name="Jun_Poncan">"#ref!"</definedName>
    <definedName name="Jun_Raso">"#ref!"</definedName>
    <definedName name="Jun_Sibintang">"#ref!"</definedName>
    <definedName name="Jun_Sibuluh">"#ref!"</definedName>
    <definedName name="Jun_Ujung">"#ref!"</definedName>
    <definedName name="K">#REF!</definedName>
    <definedName name="K.016">'[15]Analisa K'!#REF!</definedName>
    <definedName name="K.020">'[15]Analisa K'!#REF!</definedName>
    <definedName name="K.040">'[15]Analisa K'!#REF!</definedName>
    <definedName name="K.111">'[15]Analisa K'!#REF!</definedName>
    <definedName name="K.115">'[15]Analisa K'!#REF!</definedName>
    <definedName name="K.123">'[15]Analisa K'!#REF!</definedName>
    <definedName name="K.127">'[15]Analisa K'!#REF!</definedName>
    <definedName name="K.131">'[15]Analisa K'!#REF!</definedName>
    <definedName name="k.132">'[15]Analisa K'!#REF!</definedName>
    <definedName name="K.139">'[15]Analisa K'!#REF!</definedName>
    <definedName name="K.30">#REF!</definedName>
    <definedName name="K.411">'[15]Analisa K'!#REF!</definedName>
    <definedName name="K.522">'[15]Analisa K'!#REF!</definedName>
    <definedName name="K.528">'[15]Analisa K'!#REF!</definedName>
    <definedName name="K.612">'[15]Analisa K'!#REF!</definedName>
    <definedName name="K.618">'[15]Analisa K'!#REF!</definedName>
    <definedName name="K.621">'[15]Analisa K'!#REF!</definedName>
    <definedName name="K.641">'[15]Analisa K'!#REF!</definedName>
    <definedName name="K.7_23_CAT">#REF!</definedName>
    <definedName name="K.7_23_KAPUR">#REF!</definedName>
    <definedName name="K.720">'[15]Analisa K'!#REF!</definedName>
    <definedName name="K.8_23_ASGEN">#REF!</definedName>
    <definedName name="K.8_23_SENG">#REF!</definedName>
    <definedName name="K.850">'[15]Analisa K'!#REF!</definedName>
    <definedName name="K.9_23">#REF!</definedName>
    <definedName name="K.9_23B">#REF!</definedName>
    <definedName name="K_010">#REF!</definedName>
    <definedName name="K_011">#REF!</definedName>
    <definedName name="K_011_peng.kr.gal.t.saring.b_hal.2">#REF!</definedName>
    <definedName name="K_012">#REF!</definedName>
    <definedName name="K_012_peng.kr.sung.t.saring.a_hal.3">#REF!</definedName>
    <definedName name="K_013_peng.kr.sung.t.saring.b_hal.4">#REF!</definedName>
    <definedName name="K_014">#REF!</definedName>
    <definedName name="K_016">#REF!</definedName>
    <definedName name="K_016_peng.kr.sung.saring.a_hal.6">#REF!</definedName>
    <definedName name="K_017">#REF!</definedName>
    <definedName name="K_017_produk.bt.sung.pch.saring.a_hal.7">#REF!</definedName>
    <definedName name="K_023_produk.suplai_lasbutag.b_hal.47">#REF!</definedName>
    <definedName name="K_026">#REF!</definedName>
    <definedName name="K_035">#REF!</definedName>
    <definedName name="K_040">#REF!</definedName>
    <definedName name="K_110">#REF!</definedName>
    <definedName name="K_111">'[31]Analisa K'!$J$1879</definedName>
    <definedName name="K_115">#REF!</definedName>
    <definedName name="K_116">#REF!</definedName>
    <definedName name="K_210">#REF!</definedName>
    <definedName name="K_211">'[31]Analisa K'!$J$1739</definedName>
    <definedName name="K_224">#REF!</definedName>
    <definedName name="K_224_galian.tnh.konst.b_hal.8">[19]Hrg.sat.!$J$552</definedName>
    <definedName name="K_225">#REF!</definedName>
    <definedName name="K_225_urug.dan.padat_hal.19">[19]Hrg.sat.!$J$1320</definedName>
    <definedName name="K_310">#REF!</definedName>
    <definedName name="K_311">#REF!</definedName>
    <definedName name="K_321">#REF!</definedName>
    <definedName name="K_331">'[31]Analisa K'!$J$621</definedName>
    <definedName name="K_410">#REF!</definedName>
    <definedName name="K_411">'[31]Analisa K'!$J$691</definedName>
    <definedName name="K_421">#REF!</definedName>
    <definedName name="K_421_memotong_bahu_jln.a_hal.31">[19]Hrg.sat.!$J$2160</definedName>
    <definedName name="K_422">#REF!</definedName>
    <definedName name="K_424">#REF!</definedName>
    <definedName name="K_514">#REF!</definedName>
    <definedName name="K_514_lpb.kls.c.alat_hal.16">[19]Hrg.sat.!$J$1112</definedName>
    <definedName name="K_516">#REF!</definedName>
    <definedName name="K_516_konst.telford.b_hal.33">[19]Hrg.sat.!$J$2300</definedName>
    <definedName name="K_522">'[31]Analisa K'!$J$1181</definedName>
    <definedName name="K_522_lpa.kls.b.kr.saring_hal.17">[19]Hrg.sat.!$J$1182</definedName>
    <definedName name="K_523">#REF!</definedName>
    <definedName name="K_528">#REF!</definedName>
    <definedName name="K_528_menghampar.ATB.a">[19]Hrg.sat.!$J$3700</definedName>
    <definedName name="K_612">#REF!</definedName>
    <definedName name="K_614">#REF!</definedName>
    <definedName name="K_617">#REF!</definedName>
    <definedName name="K_618">#REF!</definedName>
    <definedName name="K_631">#REF!</definedName>
    <definedName name="K_636">#REF!</definedName>
    <definedName name="K_641">'[32]Analisa K'!$J$3559</definedName>
    <definedName name="K_705">#REF!</definedName>
    <definedName name="K_705_konst.pas.batu_hal.15">[19]Hrg.sat.!$J$1042</definedName>
    <definedName name="K_710">#REF!</definedName>
    <definedName name="K_710_acuan.beton_hal.13">[19]Hrg.sat.!$J$902</definedName>
    <definedName name="K_715">#REF!</definedName>
    <definedName name="K_715_tul.besi.btn_hal.12">[19]Hrg.sat.!$J$832</definedName>
    <definedName name="K_720">#REF!</definedName>
    <definedName name="K_721">#REF!</definedName>
    <definedName name="K_721_beton.massa.K175.alat.mix.125ltr_hal.30">[19]Hrg.sat.!$J$2090</definedName>
    <definedName name="K_722">#REF!</definedName>
    <definedName name="K_722_beton.strukt.K225.alat.mix.125ltr_hal.11">#REF!</definedName>
    <definedName name="K_850">#REF!</definedName>
    <definedName name="K_855">#REF!</definedName>
    <definedName name="K_860">#REF!</definedName>
    <definedName name="K_865">#REF!</definedName>
    <definedName name="K_870">#REF!</definedName>
    <definedName name="K_875">#REF!</definedName>
    <definedName name="K_877">#REF!</definedName>
    <definedName name="K_880">#REF!</definedName>
    <definedName name="K_885">#REF!</definedName>
    <definedName name="ka">[17]Alat!$O$5:$S$28</definedName>
    <definedName name="KABEL_NYA_3X2_5">'[16]Hrg Bahan'!#REF!</definedName>
    <definedName name="KABEL_NYFGBY_4X">'[16]Hrg Bahan'!#REF!</definedName>
    <definedName name="KACA_BENING">[16]Analisa!#REF!</definedName>
    <definedName name="KACA_BENING_3">'[16]Hrg Bahan'!#REF!</definedName>
    <definedName name="KACA_BENING2">'[16]Hrg Bahan'!#REF!</definedName>
    <definedName name="KACA_BENING3">'[16]Hrg Bahan'!#REF!</definedName>
    <definedName name="KACA_RYBEN3">'[16]Hrg Bahan'!#REF!</definedName>
    <definedName name="kamu">[17]Alat!$E$5:$M$28</definedName>
    <definedName name="KARET_ALAS_ATAP">'[16]Hrg Bahan'!#REF!</definedName>
    <definedName name="KARET_ROLLING">'[16]Hrg Bahan'!$N$99</definedName>
    <definedName name="KARET_TALANG">'[16]Hrg Bahan'!#REF!</definedName>
    <definedName name="KASO_RENG">[16]Analisa!#REF!</definedName>
    <definedName name="KAWAT_BETON">'[16]Hrg Bahan'!#REF!</definedName>
    <definedName name="KAWAT_BRONJONG">'[16]Hrg Bahan'!#REF!</definedName>
    <definedName name="KAWAT_DURI">'[16]Hrg Bahan'!#REF!</definedName>
    <definedName name="KAWAT_LAS">'[16]Hrg Bahan'!#REF!</definedName>
    <definedName name="KAWAT_LICIN">'[16]Hrg Bahan'!#REF!</definedName>
    <definedName name="KAWAT_RAAM">'[16]Hrg Bahan'!#REF!</definedName>
    <definedName name="KAYU_JEMBATAN">'[16]Hrg Bahan'!#REF!</definedName>
    <definedName name="KAYU_PERANCAH">'[16]Hrg Bahan'!#REF!</definedName>
    <definedName name="KEP.TUKANG">'[16]Hrg Bahan'!#REF!</definedName>
    <definedName name="KERIKIL_BUKIT">'[16]Hrg Bahan'!#REF!</definedName>
    <definedName name="KERIKIL_HALUS">'[16]Hrg Bahan'!#REF!</definedName>
    <definedName name="KERIKIL_KASAR">'[16]Hrg Bahan'!#REF!</definedName>
    <definedName name="KERIKIL_ROYALTI">'[16]Hrg Bahan'!#REF!</definedName>
    <definedName name="KERIKIL_SUNGAI">'[16]Hrg Bahan'!#REF!</definedName>
    <definedName name="KITCHEN_ZINK">'[16]Hrg Bahan'!#REF!</definedName>
    <definedName name="KKKK" hidden="1">#REF!</definedName>
    <definedName name="KODE">'[33]ANALISA PANGKEP'!$B$420:$G$493</definedName>
    <definedName name="kode.alat">#REF!</definedName>
    <definedName name="kpl">[12]harga!$F$9</definedName>
    <definedName name="kpl_tk">'[25]hrg-jadi'!$H$560</definedName>
    <definedName name="KRAN_AIR">'[16]Hrg Bahan'!#REF!</definedName>
    <definedName name="KRAN_SHOWER">'[16]Hrg Bahan'!#REF!</definedName>
    <definedName name="KRM.POLOS_10X20">'[16]Hrg Bahan'!#REF!</definedName>
    <definedName name="KRM.WARNA_10X20">'[16]Hrg Bahan'!#REF!</definedName>
    <definedName name="KRM.WARNA_20X20">'[16]Hrg Bahan'!#REF!</definedName>
    <definedName name="KUANTITAS">#REF!</definedName>
    <definedName name="KUAS_4">'[16]Hrg Bahan'!#REF!</definedName>
    <definedName name="KUDA">#REF!</definedName>
    <definedName name="KUDA_ATAP">#REF!</definedName>
    <definedName name="KUDA_KUDA">[16]Analisa!#REF!</definedName>
    <definedName name="KUNCI_EX.RRT">'[16]Hrg Bahan'!#REF!</definedName>
    <definedName name="KUNCI_LEMARI">'[16]Hrg Bahan'!#REF!</definedName>
    <definedName name="KUNCI_OTOMATIS">'[16]Hrg Bahan'!#REF!</definedName>
    <definedName name="KUNCI_SLOT">'[16]Hrg Bahan'!#REF!</definedName>
    <definedName name="KUNCI_TANAM">[16]Analisa!#REF!</definedName>
    <definedName name="KUSEN">#REF!</definedName>
    <definedName name="KUSEN_JENDELA">#REF!</definedName>
    <definedName name="kwt_btn">'[25]hrg-jadi'!$H$144</definedName>
    <definedName name="L_061">#REF!</definedName>
    <definedName name="L_073">#REF!</definedName>
    <definedName name="L_079">#REF!</definedName>
    <definedName name="L_081">#REF!</definedName>
    <definedName name="L_082">#REF!</definedName>
    <definedName name="L_083">#REF!</definedName>
    <definedName name="L_091">#REF!</definedName>
    <definedName name="L_099">#REF!</definedName>
    <definedName name="L_101">#REF!</definedName>
    <definedName name="L_106">#REF!</definedName>
    <definedName name="LAINLAIN">'[10]Kuantitas &amp; Harga'!#REF!</definedName>
    <definedName name="LAMPU_HIAS">'[16]Hrg Bahan'!#REF!</definedName>
    <definedName name="LAMPU_ORNAMEN">'[16]Hrg Bahan'!#REF!</definedName>
    <definedName name="LAMPU_PIJAR_25">'[16]Hrg Bahan'!#REF!</definedName>
    <definedName name="LAMPU_PIJAR_40">'[16]Hrg Bahan'!#REF!</definedName>
    <definedName name="LAMPU_TL_25">'[16]Hrg Bahan'!#REF!</definedName>
    <definedName name="LAMPU_TL_40">'[16]Hrg Bahan'!#REF!</definedName>
    <definedName name="LANTAI_PLAFOND">#REF!</definedName>
    <definedName name="LapisRekat">"#ref!"</definedName>
    <definedName name="LapResapIkat">"#ref!"</definedName>
    <definedName name="LEM_AIBON">'[16]Hrg Bahan'!#REF!</definedName>
    <definedName name="LEM_FOX_KUNING">'[16]Hrg Bahan'!#REF!</definedName>
    <definedName name="LEM_FOX_PUTIH">'[16]Hrg Bahan'!#REF!</definedName>
    <definedName name="LEM_PIPA">'[16]Hrg Bahan'!#REF!</definedName>
    <definedName name="LES_KAYU_II">'[16]Hrg Bahan'!#REF!</definedName>
    <definedName name="LES_PLINT_PROF">'[16]Hrg Bahan'!#REF!</definedName>
    <definedName name="LES_PLINT_SUNG">'[16]Hrg Bahan'!#REF!</definedName>
    <definedName name="LES_PROFIL_1_2">'[16]Hrg Bahan'!#REF!</definedName>
    <definedName name="LES_PROFIL_KAYU">'[16]Hrg Bahan'!#REF!</definedName>
    <definedName name="link">#REF!</definedName>
    <definedName name="LISPLANK_2_20">[16]Analisa!#REF!</definedName>
    <definedName name="LISPLNK">'[34]AN. SNI'!#REF!</definedName>
    <definedName name="list">[16]Analisa!#REF!</definedName>
    <definedName name="LISTPLANK_2_20">[16]Analisa!#REF!</definedName>
    <definedName name="LOSTER_20X20">'[16]Hrg Bahan'!#REF!</definedName>
    <definedName name="LOSTER_BTN_20">'[16]Hrg Bahan'!#REF!</definedName>
    <definedName name="LOSTER_KRM_20">'[16]Hrg Bahan'!#REF!</definedName>
    <definedName name="LOSTER_KRM_30">'[16]Hrg Bahan'!#REF!</definedName>
    <definedName name="LPA_A">#N/A</definedName>
    <definedName name="LPA_A_Minor">"#ref!"</definedName>
    <definedName name="LPA_B">#N/A</definedName>
    <definedName name="LPA_B_Bahu">#N/A</definedName>
    <definedName name="LPA_B_Minor">"#ref!"</definedName>
    <definedName name="LPB_C">#N/A</definedName>
    <definedName name="M_010">#REF!</definedName>
    <definedName name="M_020">#REF!</definedName>
    <definedName name="M_021">#REF!</definedName>
    <definedName name="M_023">#REF!</definedName>
    <definedName name="M_024">#REF!</definedName>
    <definedName name="M_025">#REF!</definedName>
    <definedName name="M_040">#REF!</definedName>
    <definedName name="M_041">#REF!</definedName>
    <definedName name="M_050">#REF!</definedName>
    <definedName name="M_061">#REF!</definedName>
    <definedName name="M_062">#REF!</definedName>
    <definedName name="M_063">#REF!</definedName>
    <definedName name="M_065">#REF!</definedName>
    <definedName name="M_080">#REF!</definedName>
    <definedName name="M_081">#REF!</definedName>
    <definedName name="M_165">#REF!</definedName>
    <definedName name="M_166">#REF!</definedName>
    <definedName name="M_167">#REF!</definedName>
    <definedName name="M_170">#REF!</definedName>
    <definedName name="M_180">#REF!</definedName>
    <definedName name="MANDOR">'[16]Hrg Bahan'!#REF!</definedName>
    <definedName name="Mar_All">"#ref!"</definedName>
    <definedName name="Mar_Bahapal">"#ref!"</definedName>
    <definedName name="Mar_Barumun">"#ref!"</definedName>
    <definedName name="Mar_Buaya">"#ref!"</definedName>
    <definedName name="Mar_Dua1">"#ref!"</definedName>
    <definedName name="Mar_Dua2">"#ref!"</definedName>
    <definedName name="Mar_Hantu">"#ref!"</definedName>
    <definedName name="Mar_Pane">"#ref!"</definedName>
    <definedName name="Mar_Poncan">"#ref!"</definedName>
    <definedName name="Mar_Raso">"#ref!"</definedName>
    <definedName name="Mar_Sibintang">"#ref!"</definedName>
    <definedName name="Mar_Sibuluh">"#ref!"</definedName>
    <definedName name="Mar_Ujung">"#ref!"</definedName>
    <definedName name="MarkaJlnThermo">"#ref!"</definedName>
    <definedName name="MARMER_40X40">'[16]Hrg Bahan'!#REF!</definedName>
    <definedName name="MATERIAL">"#ref!"</definedName>
    <definedName name="MATERIALKU">#REF!</definedName>
    <definedName name="May_All">"#ref!"</definedName>
    <definedName name="May_Bahapal">"#ref!"</definedName>
    <definedName name="May_Barumun">"#ref!"</definedName>
    <definedName name="May_Buaya">"#ref!"</definedName>
    <definedName name="May_Dua1">"#ref!"</definedName>
    <definedName name="May_Dua2">"#ref!"</definedName>
    <definedName name="May_Hantu">"#ref!"</definedName>
    <definedName name="May_Pane">"#ref!"</definedName>
    <definedName name="May_Poncan">"#ref!"</definedName>
    <definedName name="May_Raso">"#ref!"</definedName>
    <definedName name="May_Sibintang">"#ref!"</definedName>
    <definedName name="May_Sibuluh">"#ref!"</definedName>
    <definedName name="May_Ujung">"#ref!"</definedName>
    <definedName name="MCB_6A">'[16]Hrg Bahan'!#REF!</definedName>
    <definedName name="mcv">[35]MVC!$F$7:$N$8</definedName>
    <definedName name="mdr">'[25]hrg-jadi'!$H$559</definedName>
    <definedName name="MINOR">'[10]Kuantitas &amp; Harga'!#REF!</definedName>
    <definedName name="MK_012">#REF!</definedName>
    <definedName name="MK_014">#REF!</definedName>
    <definedName name="MK_017">#REF!</definedName>
    <definedName name="MK_023">#REF!</definedName>
    <definedName name="MK_522">#REF!</definedName>
    <definedName name="mmc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MMM" hidden="1">#REF!</definedName>
    <definedName name="MMM17A">"#ref!"</definedName>
    <definedName name="MMM35A">"#ref!"</definedName>
    <definedName name="MOBILISASI">#REF!</definedName>
    <definedName name="MR_11">#REF!</definedName>
    <definedName name="MR_12">#REF!</definedName>
    <definedName name="MR_42">#REF!</definedName>
    <definedName name="MUR_BAUT_ANGKER">'[16]Hrg Bahan'!$N$111</definedName>
    <definedName name="nanna79">#REF!</definedName>
    <definedName name="NOK_GENTENG">[16]Analisa!#REF!</definedName>
    <definedName name="Nov_All">"#ref!"</definedName>
    <definedName name="Nov_Bahapal">"#ref!"</definedName>
    <definedName name="Nov_Barumun">"#ref!"</definedName>
    <definedName name="Nov_Buaya">"#ref!"</definedName>
    <definedName name="Nov_Dua1">"#ref!"</definedName>
    <definedName name="Nov_Dua2">"#ref!"</definedName>
    <definedName name="Nov_Hantu">"#ref!"</definedName>
    <definedName name="Nov_Pane">"#ref!"</definedName>
    <definedName name="Nov_Poncan">"#ref!"</definedName>
    <definedName name="Nov_Raso">"#ref!"</definedName>
    <definedName name="Nov_Sibintang">"#ref!"</definedName>
    <definedName name="Nov_Sibuluh">"#ref!"</definedName>
    <definedName name="Nov_Ujung">"#ref!"</definedName>
    <definedName name="Nov02_All">"#ref!"</definedName>
    <definedName name="Nov02_Bahapal">"#ref!"</definedName>
    <definedName name="Nov02_Barumun">"#ref!"</definedName>
    <definedName name="Nov02_Buaya">"#ref!"</definedName>
    <definedName name="Nov02_Dua1">"#ref!"</definedName>
    <definedName name="Nov02_Dua2">"#ref!"</definedName>
    <definedName name="Nov02_Hantu">"#ref!"</definedName>
    <definedName name="Nov02_Pane">"#ref!"</definedName>
    <definedName name="Nov02_Poncan">"#ref!"</definedName>
    <definedName name="Nov02_Raso">"#ref!"</definedName>
    <definedName name="Nov02_Sibintang">"#ref!"</definedName>
    <definedName name="Nov02_Sibuluh">"#ref!"</definedName>
    <definedName name="Nov02_Ujung">"#ref!"</definedName>
    <definedName name="Oct_All">"#ref!"</definedName>
    <definedName name="Oct_Bahapal">"#ref!"</definedName>
    <definedName name="Oct_Barumun">"#ref!"</definedName>
    <definedName name="Oct_Buaya">"#ref!"</definedName>
    <definedName name="Oct_Dua1">"#ref!"</definedName>
    <definedName name="Oct_Dua2">"#ref!"</definedName>
    <definedName name="Oct_Hantu">"#ref!"</definedName>
    <definedName name="Oct_Pane">"#ref!"</definedName>
    <definedName name="Oct_Poncan">"#ref!"</definedName>
    <definedName name="Oct_Raso">"#ref!"</definedName>
    <definedName name="Oct_Sibintang">"#ref!"</definedName>
    <definedName name="Oct_Sibuluh">"#ref!"</definedName>
    <definedName name="Oct_Ujung">"#ref!"</definedName>
    <definedName name="Oct02_All">"#ref!"</definedName>
    <definedName name="Oct02_Bahapal">"#ref!"</definedName>
    <definedName name="Oct02_Barumun">"#ref!"</definedName>
    <definedName name="Oct02_Buaya">"#ref!"</definedName>
    <definedName name="Oct02_Dua1">"#ref!"</definedName>
    <definedName name="Oct02_Dua2">"#ref!"</definedName>
    <definedName name="Oct02_Hantu">"#ref!"</definedName>
    <definedName name="Oct02_Pane">"#ref!"</definedName>
    <definedName name="Oct02_Poncan">"#ref!"</definedName>
    <definedName name="Oct02_Raso">"#ref!"</definedName>
    <definedName name="Oct02_Sibintang">"#ref!"</definedName>
    <definedName name="Oct02_Sibuluh">"#ref!"</definedName>
    <definedName name="Oct02_Ujung">"#ref!"</definedName>
    <definedName name="oda" hidden="1">#REF!</definedName>
    <definedName name="OKER">'[16]Hrg Bahan'!#REF!</definedName>
    <definedName name="OMC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">#REF!</definedName>
    <definedName name="P_GIP_1">#REF!</definedName>
    <definedName name="P_GIP_1_5">#REF!</definedName>
    <definedName name="P_GIP_2">#REF!</definedName>
    <definedName name="P_GIP_3">#REF!</definedName>
    <definedName name="P_GIP_4">#REF!</definedName>
    <definedName name="P_PVC_1">#REF!</definedName>
    <definedName name="P_PVC_1_5">#REF!</definedName>
    <definedName name="P_PVC_2">#REF!</definedName>
    <definedName name="P_PVC_3">#REF!</definedName>
    <definedName name="P_PVC_4">#REF!</definedName>
    <definedName name="Page2">"#ref!"</definedName>
    <definedName name="paku">'[25]hrg-jadi'!$H$159</definedName>
    <definedName name="PAKU_3_10">'[16]Hrg Bahan'!$N$70</definedName>
    <definedName name="PAKU_BETON">'[16]Hrg Bahan'!#REF!</definedName>
    <definedName name="PAKU_DIGALVANO">'[16]Hrg Bahan'!#REF!</definedName>
    <definedName name="PAKU_DURI">'[16]Hrg Bahan'!#REF!</definedName>
    <definedName name="PAKU_ETERNIT_RR">'[16]Hrg Bahan'!#REF!</definedName>
    <definedName name="PAKU_GTG_ASBES">'[16]Hrg Bahan'!#REF!</definedName>
    <definedName name="PAKU_JEMBATAN">'[16]Hrg Bahan'!#REF!</definedName>
    <definedName name="PAKU_KASO">'[16]Hrg Bahan'!#REF!</definedName>
    <definedName name="PAKU_SENG">'[16]Hrg Bahan'!#REF!</definedName>
    <definedName name="PAKU_SENG_ULIR">'[16]Hrg Bahan'!#REF!</definedName>
    <definedName name="PAKU_SIRAP">'[16]Hrg Bahan'!#REF!</definedName>
    <definedName name="PAKU_SUMBAT">'[16]Hrg Bahan'!#REF!</definedName>
    <definedName name="PAKU_ULIR">'[16]Hrg Bahan'!#REF!</definedName>
    <definedName name="PAKU2">'[16]Hrg Bahan'!#REF!</definedName>
    <definedName name="PANEL_BOX_500">'[16]Hrg Bahan'!#REF!</definedName>
    <definedName name="PANEL_BOX_600">'[16]Hrg Bahan'!#REF!</definedName>
    <definedName name="PAPAN">#REF!</definedName>
    <definedName name="PAPAN_II">'[16]Hrg Bahan'!$N$31</definedName>
    <definedName name="PAPAN_III">'[16]Hrg Bahan'!$N$33</definedName>
    <definedName name="Parit">#N/A</definedName>
    <definedName name="PAS._INSTALASI">'[16]Hrg Bahan'!#REF!</definedName>
    <definedName name="PAS.ENGSEL_JENDELA">[16]Analisa!$M$511</definedName>
    <definedName name="PAS.ENGSEL_PINTU">[16]Analisa!#REF!</definedName>
    <definedName name="PAS.FLOOR_DRAIN">[16]Analisa!#REF!</definedName>
    <definedName name="PAS.HAK_ANGIN">[16]Analisa!$M$545</definedName>
    <definedName name="PAS.KRAN_AIR">[16]Analisa!#REF!</definedName>
    <definedName name="PAS.PAVING_BLOK">[16]Analisa!#REF!</definedName>
    <definedName name="PAS.PENGURAS_AIR">[16]Analisa!#REF!</definedName>
    <definedName name="Pas_Batu">#N/A</definedName>
    <definedName name="Pas_BatuMor">"#ref!"</definedName>
    <definedName name="PASIR_BETON">'[16]Hrg Bahan'!$N$16</definedName>
    <definedName name="PASIR_PASANGAN">'[16]Hrg Bahan'!$N$15</definedName>
    <definedName name="PASIR_URUG">'[16]Hrg Bahan'!$N$14</definedName>
    <definedName name="PatokPengarah">"#ref!"</definedName>
    <definedName name="pb">'[25]hrg-jadi'!$H$46</definedName>
    <definedName name="pc">'[25]hrg-jadi'!$H$58</definedName>
    <definedName name="PC_20X20">'[16]Hrg Bahan'!#REF!</definedName>
    <definedName name="PC_25X25">'[16]Hrg Bahan'!#REF!</definedName>
    <definedName name="PEDESTRIANROLLER">#REF!</definedName>
    <definedName name="pek">#REF!</definedName>
    <definedName name="PEKERJA">'[16]Hrg Bahan'!#REF!</definedName>
    <definedName name="PELAMPUNG">'[16]Hrg Bahan'!#REF!</definedName>
    <definedName name="PEMANAS_WIKA">'[16]Hrg Bahan'!#REF!</definedName>
    <definedName name="Pembongkaran">[36]NP!$L$841:$V$901</definedName>
    <definedName name="PENDAHULUAN">[22]RAB01!#REF!</definedName>
    <definedName name="PENGECATAN">#REF!</definedName>
    <definedName name="PENUTUP_KRAN">'[16]Hrg Bahan'!$N$200</definedName>
    <definedName name="PERSIAPAN">#REF!</definedName>
    <definedName name="PINTU">#REF!</definedName>
    <definedName name="PINTU_II">[16]Analisa!#REF!</definedName>
    <definedName name="PIPA_PENGURAS">'[16]Hrg Bahan'!#REF!</definedName>
    <definedName name="pkj">'[25]hrg-jadi'!$H$574</definedName>
    <definedName name="plafon">'[34]AN. SNI'!#REF!</definedName>
    <definedName name="PLAFOND">#REF!</definedName>
    <definedName name="PLAFOND_100.100">[16]Analisa!#REF!</definedName>
    <definedName name="PLAFOND_60.120">[16]Analisa!#REF!</definedName>
    <definedName name="PLAFOND_ETERNIT">[16]Analisa!#REF!</definedName>
    <definedName name="PLAFOND_TRIPLEKS">[16]Analisa!#REF!</definedName>
    <definedName name="PLAMOUR_WYBER">'[16]Hrg Bahan'!#REF!</definedName>
    <definedName name="PLAT_LANTAI">#REF!</definedName>
    <definedName name="PLEST_1_3">[16]Analisa!#REF!</definedName>
    <definedName name="PLEST_1_5">[16]Analisa!#REF!</definedName>
    <definedName name="PLEST_TRAS">[16]Analisa!#REF!</definedName>
    <definedName name="PLESTERAN">#REF!</definedName>
    <definedName name="PLINT_10X30">'[16]Hrg Bahan'!#REF!</definedName>
    <definedName name="PLINT_15X15">'[16]Hrg Bahan'!#REF!</definedName>
    <definedName name="PLINT_15X20">'[16]Hrg Bahan'!#REF!</definedName>
    <definedName name="PLINT_15X25">'[16]Hrg Bahan'!#REF!</definedName>
    <definedName name="PLINT_15X30">'[16]Hrg Bahan'!#REF!</definedName>
    <definedName name="PLINT_PC_15X20">'[16]Hrg Bahan'!#REF!</definedName>
    <definedName name="POLITUR">'[16]Hrg Bahan'!#REF!</definedName>
    <definedName name="POLOS_20.20">[16]Analisa!#REF!</definedName>
    <definedName name="POLOS_30.30">[16]Analisa!#REF!</definedName>
    <definedName name="PONDASI">#REF!</definedName>
    <definedName name="PONDASI_GUNUNG_1_5">[16]Analisa!#REF!</definedName>
    <definedName name="PORSELIN">'[16]Hrg Bahan'!#REF!</definedName>
    <definedName name="pp">'[25]hrg-jadi'!$H$45</definedName>
    <definedName name="_xlnm.Print_Area" localSheetId="7">BRILink!$B$1:$E$27</definedName>
    <definedName name="_xlnm.Print_Area" localSheetId="3">KASHAR!$A$1:$W$184</definedName>
    <definedName name="_xlnm.Print_Area" localSheetId="5">MULTI!$A$1:$Q$65</definedName>
    <definedName name="_xlnm.Print_Area" localSheetId="0">NERACA!$A$1:$H$52</definedName>
    <definedName name="_xlnm.Print_Area" localSheetId="1">'RUGI LABA '!$A$1:$C$44</definedName>
    <definedName name="_xlnm.Print_Area" localSheetId="6">REKAP!$A$1:$AG$76</definedName>
    <definedName name="_xlnm.Print_Area" hidden="1">#REF!</definedName>
    <definedName name="Print_Area_MI">[37]ANALAISA!$A$1:$F$653</definedName>
    <definedName name="pro">'[25]AN-GALIAN'!$K$1</definedName>
    <definedName name="psr">[12]harga!$F$52</definedName>
    <definedName name="PTJW">#REF!</definedName>
    <definedName name="pu">'[25]hrg-jadi'!$H$44</definedName>
    <definedName name="PULLY">'[16]Hrg Bahan'!#REF!</definedName>
    <definedName name="PUSAT">"#ref!"</definedName>
    <definedName name="PVC_DIA.1">'[16]Hrg Bahan'!#REF!</definedName>
    <definedName name="PVC_DIA.1_2">'[16]Hrg Bahan'!#REF!</definedName>
    <definedName name="PVC_DIA.1_5">'[16]Hrg Bahan'!#REF!</definedName>
    <definedName name="PVC_DIA.2">'[16]Hrg Bahan'!#REF!</definedName>
    <definedName name="PVC_DIA.3">'[16]Hrg Bahan'!#REF!</definedName>
    <definedName name="PVC_DIA.3_4">'[16]Hrg Bahan'!#REF!</definedName>
    <definedName name="PVC_DIA.4">'[16]Hrg Bahan'!#REF!</definedName>
    <definedName name="q">"#ref!"</definedName>
    <definedName name="qq">#REF!</definedName>
    <definedName name="RambuJlnPantul">"#ref!"</definedName>
    <definedName name="rangka">'[34]AN. SNI'!#REF!</definedName>
    <definedName name="RANGKA_100.100">[16]Analisa!#REF!</definedName>
    <definedName name="RANGKA_60.120">[16]Analisa!#REF!</definedName>
    <definedName name="RANGKA_PLAFOND">#REF!</definedName>
    <definedName name="Rego">#N/A</definedName>
    <definedName name="rekapppp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lPengaman">"#ref!"</definedName>
    <definedName name="RevDiv1_Bahapal">"#ref!"</definedName>
    <definedName name="RevDiv1_Barumun">"#ref!"</definedName>
    <definedName name="RevDiv1_Buaya">"#ref!"</definedName>
    <definedName name="RevDiv1_Dua1">"#ref!"</definedName>
    <definedName name="RevDiv1_Dua2">"#ref!"</definedName>
    <definedName name="RevDiv1_Hantu">"#ref!"</definedName>
    <definedName name="RevDiv1_Pane">"#ref!"</definedName>
    <definedName name="RevDiv1_Poncan">"#ref!"</definedName>
    <definedName name="RevDiv1_Raso">"#ref!"</definedName>
    <definedName name="RevDiv1_Sibintang">"#ref!"</definedName>
    <definedName name="RevDiv1_Sibuluh">"#ref!"</definedName>
    <definedName name="RevDiv1_Total">"#ref!"</definedName>
    <definedName name="RevDiv1_Ujung">"#ref!"</definedName>
    <definedName name="RevDiv2_Bahapal">"#ref!"</definedName>
    <definedName name="RevDiv2_Barumun">"#ref!"</definedName>
    <definedName name="RevDiv2_Buaya">"#ref!"</definedName>
    <definedName name="RevDiv2_Dua1">"#ref!"</definedName>
    <definedName name="RevDiv2_Dua2">"#ref!"</definedName>
    <definedName name="RevDiv2_Hantu">"#ref!"</definedName>
    <definedName name="RevDiv2_Pane">"#ref!"</definedName>
    <definedName name="RevDiv2_Poncan">"#ref!"</definedName>
    <definedName name="RevDiv2_Raso">"#ref!"</definedName>
    <definedName name="RevDiv2_Sibintang">"#ref!"</definedName>
    <definedName name="RevDiv2_Sibuluh">"#ref!"</definedName>
    <definedName name="RevDiv2_Total">"#ref!"</definedName>
    <definedName name="RevDiv2_Ujung">"#ref!"</definedName>
    <definedName name="RevDiv3_Bahapal">"#ref!"</definedName>
    <definedName name="RevDiv3_Barumun">"#ref!"</definedName>
    <definedName name="RevDiv3_Buaya">"#ref!"</definedName>
    <definedName name="RevDiv3_Dua1">"#ref!"</definedName>
    <definedName name="RevDiv3_Dua2">"#ref!"</definedName>
    <definedName name="RevDiv3_Hantu">"#ref!"</definedName>
    <definedName name="RevDiv3_Pane">"#ref!"</definedName>
    <definedName name="RevDiv3_Poncan">"#ref!"</definedName>
    <definedName name="RevDiv3_Raso">"#ref!"</definedName>
    <definedName name="RevDiv3_Sibintang">"#ref!"</definedName>
    <definedName name="RevDiv3_Sibuluh">"#ref!"</definedName>
    <definedName name="RevDiv3_Total">"#ref!"</definedName>
    <definedName name="RevDiv3_Ujung">"#ref!"</definedName>
    <definedName name="RevDiv4_Bahapal">"#ref!"</definedName>
    <definedName name="RevDiv4_Barumun">"#ref!"</definedName>
    <definedName name="RevDiv4_Buaya">"#ref!"</definedName>
    <definedName name="RevDiv4_Dua1">"#ref!"</definedName>
    <definedName name="RevDiv4_Dua2">"#ref!"</definedName>
    <definedName name="RevDiv4_Hantu">"#ref!"</definedName>
    <definedName name="RevDiv4_Pane">"#ref!"</definedName>
    <definedName name="RevDiv4_Poncan">"#ref!"</definedName>
    <definedName name="RevDiv4_Raso">"#ref!"</definedName>
    <definedName name="RevDiv4_Sibintang">"#ref!"</definedName>
    <definedName name="RevDiv4_Sibuluh">"#ref!"</definedName>
    <definedName name="RevDiv4_Total">"#ref!"</definedName>
    <definedName name="RevDiv4_Ujung">"#ref!"</definedName>
    <definedName name="RevDiv5_Bahapal">"#ref!"</definedName>
    <definedName name="RevDiv5_Barumun">"#ref!"</definedName>
    <definedName name="RevDiv5_Buaya">"#ref!"</definedName>
    <definedName name="RevDiv5_Dua1">"#ref!"</definedName>
    <definedName name="RevDiv5_Dua2">"#ref!"</definedName>
    <definedName name="RevDiv5_Hantu">"#ref!"</definedName>
    <definedName name="RevDiv5_Pane">"#ref!"</definedName>
    <definedName name="RevDiv5_Poncan">"#ref!"</definedName>
    <definedName name="RevDiv5_Raso">"#ref!"</definedName>
    <definedName name="RevDiv5_Sibintang">"#ref!"</definedName>
    <definedName name="RevDiv5_Sibuluh">"#ref!"</definedName>
    <definedName name="RevDiv5_Total">"#ref!"</definedName>
    <definedName name="RevDiv5_Ujung">"#ref!"</definedName>
    <definedName name="RevDiv6_Bahapal">"#ref!"</definedName>
    <definedName name="RevDiv6_Barumun">"#ref!"</definedName>
    <definedName name="RevDiv6_Buaya">"#ref!"</definedName>
    <definedName name="RevDiv6_Dua1">"#ref!"</definedName>
    <definedName name="RevDiv6_Dua2">"#ref!"</definedName>
    <definedName name="RevDiv6_Hantu">"#ref!"</definedName>
    <definedName name="RevDiv6_Pane">"#ref!"</definedName>
    <definedName name="RevDiv6_Poncan">"#ref!"</definedName>
    <definedName name="RevDiv6_Raso">"#ref!"</definedName>
    <definedName name="RevDiv6_Sibintang">"#ref!"</definedName>
    <definedName name="RevDiv6_Sibuluh">"#ref!"</definedName>
    <definedName name="RevDiv6_Total">"#ref!"</definedName>
    <definedName name="RevDiv6_Ujung">"#ref!"</definedName>
    <definedName name="RevDiv7_Bahapal">"#ref!"</definedName>
    <definedName name="RevDiv7_Barumun">"#ref!"</definedName>
    <definedName name="RevDiv7_Buaya">"#ref!"</definedName>
    <definedName name="RevDiv7_Dua1">"#ref!"</definedName>
    <definedName name="RevDiv7_Dua2">"#ref!"</definedName>
    <definedName name="RevDiv7_Hantu">"#ref!"</definedName>
    <definedName name="RevDiv7_Pane">"#ref!"</definedName>
    <definedName name="RevDiv7_Poncan">"#ref!"</definedName>
    <definedName name="RevDiv7_Raso">"#ref!"</definedName>
    <definedName name="RevDiv7_Sibintang">"#ref!"</definedName>
    <definedName name="RevDiv7_Sibuluh">"#ref!"</definedName>
    <definedName name="RevDiv7_Total">"#ref!"</definedName>
    <definedName name="RevDiv7_Ujung">"#ref!"</definedName>
    <definedName name="RINCIANSEWA">#REF!</definedName>
    <definedName name="RINCIANSEWA2">#REF!</definedName>
    <definedName name="ROLLING_DOOR">'[16]Hrg Bahan'!#REF!</definedName>
    <definedName name="RUTIN">'[10]Kuantitas &amp; Harga'!#REF!</definedName>
    <definedName name="s">[38]ANALISA!$C$6:$E$424</definedName>
    <definedName name="SADEL_PLASTIK">'[16]Hrg Bahan'!#REF!</definedName>
    <definedName name="SAKLAR_DOUBLE_H">'[16]Hrg Bahan'!#REF!</definedName>
    <definedName name="SAKLAR_DOUBLE_P">'[16]Hrg Bahan'!#REF!</definedName>
    <definedName name="SAKLAR_ENGKEL_H">'[16]Hrg Bahan'!#REF!</definedName>
    <definedName name="SAKLAR_ENGKEL_P">'[16]Hrg Bahan'!#REF!</definedName>
    <definedName name="SALURAN_RABAT">#REF!</definedName>
    <definedName name="SANITASI">#REF!</definedName>
    <definedName name="SatuanBahan">[39]HBU!$F$457:$F$471</definedName>
    <definedName name="SatuanTenaga">[39]HBU!$F$472</definedName>
    <definedName name="SAY">"#ref!"</definedName>
    <definedName name="SEKRING_LOKAL_1">'[16]Hrg Bahan'!#REF!</definedName>
    <definedName name="SEKRING_LOKAL_2">'[16]Hrg Bahan'!#REF!</definedName>
    <definedName name="SELUBUNG_GIP_2">'[16]Hrg Bahan'!#REF!</definedName>
    <definedName name="SELUBUNG_GIP_3">'[16]Hrg Bahan'!#REF!</definedName>
    <definedName name="SEMEN">'[16]Hrg Bahan'!#REF!</definedName>
    <definedName name="SEMEN_WARNA">'[16]Hrg Bahan'!$N$20</definedName>
    <definedName name="SENG_ALUMINIUM">'[16]Hrg Bahan'!#REF!</definedName>
    <definedName name="SENG_BJLS.020">'[16]Hrg Bahan'!$N$146</definedName>
    <definedName name="SENG_BJLS.022">'[16]Hrg Bahan'!#REF!</definedName>
    <definedName name="SENG_BJLS.029">'[16]Hrg Bahan'!#REF!</definedName>
    <definedName name="SENG_BJLS.031">'[16]Hrg Bahan'!$N$154</definedName>
    <definedName name="SENG_GELOMBANG">'[16]Hrg Bahan'!$N$155</definedName>
    <definedName name="SENG_ONDULINE">'[16]Hrg Bahan'!#REF!</definedName>
    <definedName name="SENG_SUPERDEK">'[16]Hrg Bahan'!$N$158</definedName>
    <definedName name="Sep_All">"#ref!"</definedName>
    <definedName name="Sep_Bahapal">"#ref!"</definedName>
    <definedName name="Sep_Barumun">"#ref!"</definedName>
    <definedName name="Sep_Buaya">"#ref!"</definedName>
    <definedName name="Sep_Dua1">"#ref!"</definedName>
    <definedName name="Sep_Dua2">"#ref!"</definedName>
    <definedName name="Sep_Hantu">"#ref!"</definedName>
    <definedName name="Sep_Pane">"#ref!"</definedName>
    <definedName name="Sep_Poncan">"#ref!"</definedName>
    <definedName name="Sep_Raso">"#ref!"</definedName>
    <definedName name="Sep_Sibintang">"#ref!"</definedName>
    <definedName name="Sep_Sibuluh">"#ref!"</definedName>
    <definedName name="Sep_Ujung">"#ref!"</definedName>
    <definedName name="SEPTICTANK">[16]Analisa!#REF!</definedName>
    <definedName name="SHOWER_TOTO">'[16]Hrg Bahan'!#REF!</definedName>
    <definedName name="Siap_BadanJL">"#ref!"</definedName>
    <definedName name="SIRAP">'[16]Hrg Bahan'!#REF!</definedName>
    <definedName name="SISA">#REF!</definedName>
    <definedName name="SLAT_ALUMINIUM">'[16]Hrg Bahan'!$N$100</definedName>
    <definedName name="SOCKET_GIP_1_2">'[16]Hrg Bahan'!#REF!</definedName>
    <definedName name="SOCKET_GIP1">'[16]Hrg Bahan'!#REF!</definedName>
    <definedName name="SOCKET_GIP2">'[16]Hrg Bahan'!#REF!</definedName>
    <definedName name="SOCKET_GIP3">'[16]Hrg Bahan'!#REF!</definedName>
    <definedName name="SOCKET_GIP3_4">'[16]Hrg Bahan'!#REF!</definedName>
    <definedName name="SPL.III_BDK_20">#REF!</definedName>
    <definedName name="SPL.III_BDK_30">#REF!</definedName>
    <definedName name="SPL.III_PC">#REF!</definedName>
    <definedName name="SPL.IV_10X20">#REF!</definedName>
    <definedName name="SPL.IV_PORSEL">#REF!</definedName>
    <definedName name="SPL.V">#REF!</definedName>
    <definedName name="SPL.VIA">#REF!</definedName>
    <definedName name="SPL.VII_I">#REF!</definedName>
    <definedName name="SPL.VII_II">#REF!</definedName>
    <definedName name="SPL.VIII_ETER">#REF!</definedName>
    <definedName name="SPL.VIII_GAM">#REF!</definedName>
    <definedName name="SPL.VIII_TEAK">#REF!</definedName>
    <definedName name="SPL.VIII_TRIP">#REF!</definedName>
    <definedName name="SPL.X">#REF!</definedName>
    <definedName name="SPRAYER">#REF!</definedName>
    <definedName name="ss" hidden="1">#REF!</definedName>
    <definedName name="ssss">#REF!</definedName>
    <definedName name="STIKER_HITAM">'[16]Hrg Bahan'!#REF!</definedName>
    <definedName name="STIKER_PUTIH">'[16]Hrg Bahan'!#REF!</definedName>
    <definedName name="STONECRUSHER">#REF!</definedName>
    <definedName name="STOP_KONTAK_H">'[16]Hrg Bahan'!#REF!</definedName>
    <definedName name="STOP_KONTAK_P">'[16]Hrg Bahan'!#REF!</definedName>
    <definedName name="STOP_KRAN_1_5">'[16]Hrg Bahan'!#REF!</definedName>
    <definedName name="STOP_KRAN_2">'[16]Hrg Bahan'!#REF!</definedName>
    <definedName name="STOP_KRAN_3">'[16]Hrg Bahan'!#REF!</definedName>
    <definedName name="STOP_KRAN_3_4">'[16]Hrg Bahan'!#REF!</definedName>
    <definedName name="STOP_KRAN_4">'[16]Hrg Bahan'!#REF!</definedName>
    <definedName name="STRUKTUR">'[10]Kuantitas &amp; Harga'!#REF!</definedName>
    <definedName name="SUNGKAI_PAPER">'[16]Hrg Bahan'!#REF!</definedName>
    <definedName name="T_1">#REF!</definedName>
    <definedName name="T_2">#REF!</definedName>
    <definedName name="Tabel">#REF!</definedName>
    <definedName name="Tabel_1">#REF!</definedName>
    <definedName name="tabel1">#REF!</definedName>
    <definedName name="TALANG_KARET">[16]Analisa!$M$465</definedName>
    <definedName name="TAMPER">#REF!</definedName>
    <definedName name="TANAH">#REF!</definedName>
    <definedName name="TANAH_TIMBUNAN">'[16]Hrg Bahan'!$N$17</definedName>
    <definedName name="TANDEMROLLER">#REF!</definedName>
    <definedName name="TANGKI_FIBER_3">'[16]Hrg Bahan'!$N$195</definedName>
    <definedName name="TANGKI_FIBER_6">'[16]Hrg Bahan'!#REF!</definedName>
    <definedName name="TAS">#REF!</definedName>
    <definedName name="TEAK_OIL">'[16]Hrg Bahan'!#REF!</definedName>
    <definedName name="TEAKWOOD_4X8">'[16]Hrg Bahan'!#REF!</definedName>
    <definedName name="TEAKWOOD_ALUM">'[16]Hrg Bahan'!#REF!</definedName>
    <definedName name="TEAKWOOD_MIL">'[16]Hrg Bahan'!#REF!</definedName>
    <definedName name="TEGEL">#REF!</definedName>
    <definedName name="TEMBOK_1_4">[16]Analisa!#REF!</definedName>
    <definedName name="TENAGA">[39]HBU!$E$443:$E$453</definedName>
    <definedName name="THREEWHEELROLLER">#REF!</definedName>
    <definedName name="TIANG_PJU">'[16]Hrg Bahan'!#REF!</definedName>
    <definedName name="TIGA_RODA_40">'[16]Hrg Bahan'!#REF!</definedName>
    <definedName name="Timbun_Biasa">"#ref!"</definedName>
    <definedName name="Timbunan">#N/A</definedName>
    <definedName name="TIMBUNAN_SIRTU">[16]Analisa!#REF!</definedName>
    <definedName name="TIREROLLER">#REF!</definedName>
    <definedName name="tk">'[25]hrg-jadi'!$H$566</definedName>
    <definedName name="Tkg">[12]harga!$F$17</definedName>
    <definedName name="TONASA_50">'[16]Hrg Bahan'!#REF!</definedName>
    <definedName name="tot">#REF!</definedName>
    <definedName name="TOTAL">#REF!</definedName>
    <definedName name="TRACKLOADER">#REF!</definedName>
    <definedName name="TRASO_30X30">'[16]Hrg Bahan'!#REF!</definedName>
    <definedName name="TREAK_STANG">'[16]Hrg Bahan'!#REF!</definedName>
    <definedName name="TRIPLEX_MILAMIN">'[16]Hrg Bahan'!#REF!</definedName>
    <definedName name="TRIPLEX_SUNGKAI">'[16]Hrg Bahan'!#REF!</definedName>
    <definedName name="tu">'[25]hrg-jadi'!$H$24</definedName>
    <definedName name="TUK._ANYAM">'[16]Hrg Bahan'!#REF!</definedName>
    <definedName name="TUK.BATU">'[16]Hrg Bahan'!#REF!</definedName>
    <definedName name="TUK.BESI">'[16]Hrg Bahan'!#REF!</definedName>
    <definedName name="TUK.CAT">'[16]Hrg Bahan'!#REF!</definedName>
    <definedName name="TUK.KAYU">'[16]Hrg Bahan'!#REF!</definedName>
    <definedName name="TUKANG">'[16]Hrg Bahan'!#REF!</definedName>
    <definedName name="type200">'[40]Type 232'!$X$187</definedName>
    <definedName name="type45">'[40]Type 45'!$X$155</definedName>
    <definedName name="type54">'[40]Type 54'!$X$156</definedName>
    <definedName name="type90">'[40]Type 90'!$X$183</definedName>
    <definedName name="UNION_40">'[16]Hrg Bahan'!#REF!</definedName>
    <definedName name="UNION_50">'[16]Hrg Bahan'!#REF!</definedName>
    <definedName name="UPAH">"#ref!"</definedName>
    <definedName name="URAIAN">'[27]3-DIV2'!$A$1:$J$1101</definedName>
    <definedName name="URAIAN21">'[27]3-DIV2'!$A$1:$J$121</definedName>
    <definedName name="URAIAN22E">'[27]3-DIV2'!$A$122:$J$123</definedName>
    <definedName name="URAIAN22L">'[27]3-DIV2'!#REF!</definedName>
    <definedName name="URAIAN231">'[27]3-DIV2'!$A$124:$J$243</definedName>
    <definedName name="URAIAN232">'[27]3-DIV2'!$A$244:$J$363</definedName>
    <definedName name="URAIAN233">'[27]3-DIV2'!$A$364:$J$483</definedName>
    <definedName name="Uraian234">'[27]3-DIV2'!$A$484:$J$603</definedName>
    <definedName name="Uraian235">'[27]3-DIV2'!$A$604:$J$854</definedName>
    <definedName name="Uraian236">'[27]3-DIV2'!$A$855:$J$973</definedName>
    <definedName name="URAIAN241">'[27]3-DIV2'!$A$974:$J$978</definedName>
    <definedName name="URAIAN242">'[27]3-DIV2'!$A$979:$J$1039</definedName>
    <definedName name="URAIAN243">'[27]3-DIV2'!$A$1040:$J$1101</definedName>
    <definedName name="Uraian311">"#ref!"</definedName>
    <definedName name="Uraian312">"#ref!"</definedName>
    <definedName name="Uraian313">"#ref!"</definedName>
    <definedName name="Uraian314">"#ref!"</definedName>
    <definedName name="Uraian315">"#ref!"</definedName>
    <definedName name="Uraian319">"#ref!"</definedName>
    <definedName name="Uraian322">"#ref!"</definedName>
    <definedName name="Uraian323">"#ref!"</definedName>
    <definedName name="URAIAN323L">#REF!</definedName>
    <definedName name="Uraian324">"#ref!"</definedName>
    <definedName name="Uraian331">"#ref!"</definedName>
    <definedName name="Uraian346">"#ref!"</definedName>
    <definedName name="URAIAN421">'[28]3-DIV4'!$A$1:$J$179</definedName>
    <definedName name="URAIAN422">'[28]3-DIV4'!$A$180:$J$358</definedName>
    <definedName name="URAIAN423">'[28]3-DIV4'!$A$479:$J$717</definedName>
    <definedName name="URAIAN424">'[28]3-DIV4'!$A$359:$J$478</definedName>
    <definedName name="URAIAN425">'[28]3-DIV4'!$A$718:$J$896</definedName>
    <definedName name="URAIAN426">'[28]3-DIV4'!$A$897:$J$1016</definedName>
    <definedName name="URAIAN427">'[28]3-DIV4'!$A$1017:$J$1136</definedName>
    <definedName name="URAIAN511">"#ref!"</definedName>
    <definedName name="URAIAN512">"#ref!"</definedName>
    <definedName name="URAIAN521">"#ref!"</definedName>
    <definedName name="URAIAN522">"#ref!"</definedName>
    <definedName name="URAIAN541">"#ref!"</definedName>
    <definedName name="URAIAN542">"#ref!"</definedName>
    <definedName name="URAIAN611">#REF!</definedName>
    <definedName name="URAIAN612">#REF!</definedName>
    <definedName name="URAIAN621">#REF!</definedName>
    <definedName name="URAIAN622">#REF!</definedName>
    <definedName name="URAIAN623">#REF!</definedName>
    <definedName name="URAIAN631">#REF!</definedName>
    <definedName name="URAIAN632">#REF!</definedName>
    <definedName name="URAIAN633">#REF!</definedName>
    <definedName name="URAIAN634">#REF!</definedName>
    <definedName name="URAIAN635">#REF!</definedName>
    <definedName name="URAIAN635A">#REF!</definedName>
    <definedName name="URAIAN636">#REF!</definedName>
    <definedName name="URAIAN641L">#REF!</definedName>
    <definedName name="URAIAN642">#REF!</definedName>
    <definedName name="URAIAN65">#REF!</definedName>
    <definedName name="URAIAN66PERATA">#REF!</definedName>
    <definedName name="URAIAN66PERMUKAAN">#REF!</definedName>
    <definedName name="URAIAN7101">#REF!</definedName>
    <definedName name="URAIAN7102">#REF!</definedName>
    <definedName name="URAIAN7103">#REF!</definedName>
    <definedName name="URAIAN711">#REF!</definedName>
    <definedName name="URAIAN712">#REF!</definedName>
    <definedName name="URAIAN713">#REF!</definedName>
    <definedName name="URAIAN714">#REF!</definedName>
    <definedName name="URAIAN715">#REF!</definedName>
    <definedName name="URAIAN716">#REF!</definedName>
    <definedName name="URAIAN717">#REF!</definedName>
    <definedName name="URAIAN718">#REF!</definedName>
    <definedName name="URAIAN721">#REF!</definedName>
    <definedName name="URAIAN731">#REF!</definedName>
    <definedName name="URAIAN732">#REF!</definedName>
    <definedName name="URAIAN733">#REF!</definedName>
    <definedName name="URAIAN734">#REF!</definedName>
    <definedName name="URAIAN735">#REF!</definedName>
    <definedName name="URAIAN744">#REF!</definedName>
    <definedName name="URAIAN745">#REF!</definedName>
    <definedName name="URAIAN7610">#REF!</definedName>
    <definedName name="URAIAN7612a">#REF!</definedName>
    <definedName name="URAIAN7612b">#REF!</definedName>
    <definedName name="URAIAN7612c">#REF!</definedName>
    <definedName name="URAIAN7613a">#REF!</definedName>
    <definedName name="URAIAN7613b">#REF!</definedName>
    <definedName name="URAIAN7613c">#REF!</definedName>
    <definedName name="URAIAN7614a">#REF!</definedName>
    <definedName name="URAIAN7614b">#REF!</definedName>
    <definedName name="URAIAN7614d">#REF!</definedName>
    <definedName name="URAIAN7614e">#REF!</definedName>
    <definedName name="URAIAN7618">#REF!</definedName>
    <definedName name="URAIAN7619">#REF!</definedName>
    <definedName name="URAIAN768">#REF!</definedName>
    <definedName name="URAIAN769">#REF!</definedName>
    <definedName name="URAIAN76x">#REF!</definedName>
    <definedName name="URAIAN771a">#REF!</definedName>
    <definedName name="URAIAN771b">#REF!</definedName>
    <definedName name="URAIAN771c">#REF!</definedName>
    <definedName name="URAIAN771d">#REF!</definedName>
    <definedName name="URAIAN772a">#REF!</definedName>
    <definedName name="URAIAN772b">#REF!</definedName>
    <definedName name="URAIAN772c">#REF!</definedName>
    <definedName name="URAIAN772d">#REF!</definedName>
    <definedName name="URAIAN79manual">#REF!</definedName>
    <definedName name="URAIAN79mekanis">#REF!</definedName>
    <definedName name="URAIAN811">#REF!</definedName>
    <definedName name="URAIAN812">#REF!</definedName>
    <definedName name="URAIAN813">#REF!</definedName>
    <definedName name="URAIAN814">#REF!</definedName>
    <definedName name="URAIAN815">#REF!</definedName>
    <definedName name="URAIAN817">#REF!</definedName>
    <definedName name="URAIAN818">#REF!</definedName>
    <definedName name="URAIAN819">#REF!</definedName>
    <definedName name="URAIAN82">#REF!</definedName>
    <definedName name="Uraian841">#REF!</definedName>
    <definedName name="Uraian8410">#REF!</definedName>
    <definedName name="Uraian842">#REF!</definedName>
    <definedName name="Uraian844">#REF!</definedName>
    <definedName name="Uraian845">#REF!</definedName>
    <definedName name="Uraian846">#REF!</definedName>
    <definedName name="Uraian847">#REF!</definedName>
    <definedName name="URAIANGEOTEKSTIL">#REF!</definedName>
    <definedName name="URINOIR_KERAMIK">'[16]Hrg Bahan'!$N$180</definedName>
    <definedName name="URINOIR_TRASO">'[16]Hrg Bahan'!$N$181</definedName>
    <definedName name="URUGAN_TANAH">[16]Analisa!#REF!</definedName>
    <definedName name="UTAIAN7614c">#REF!</definedName>
    <definedName name="v">[14]RAB!#REF!</definedName>
    <definedName name="VEER_BAJA">'[16]Hrg Bahan'!$N$108</definedName>
    <definedName name="VERNIS">'[16]Hrg Bahan'!#REF!</definedName>
    <definedName name="vi">[41]RAB!#REF!</definedName>
    <definedName name="VIBROROLLER">#REF!</definedName>
    <definedName name="VITTING">'[16]Hrg Bahan'!#REF!</definedName>
    <definedName name="voeg">#REF!</definedName>
    <definedName name="WALL_PAPER">'[16]Hrg Bahan'!#REF!</definedName>
    <definedName name="WARNA_20.20">[16]Analisa!#REF!</definedName>
    <definedName name="WASHTAFEL_KIA">'[16]Hrg Bahan'!#REF!</definedName>
    <definedName name="WASHTAFEL_SET">'[16]Hrg Bahan'!#REF!</definedName>
    <definedName name="WASHTAFEL_TOTO">'[16]Hrg Bahan'!#REF!</definedName>
    <definedName name="WATER_METER">'[16]Hrg Bahan'!#REF!</definedName>
    <definedName name="WATERPUMP">#REF!</definedName>
    <definedName name="WATERTANKER">#REF!</definedName>
    <definedName name="WHEELLOADER">#REF!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W">[42]Sheet1!#REF!</definedName>
    <definedName name="Z">#REF!</definedName>
    <definedName name="_xlnm.Print_Area" localSheetId="4">MODUS!$A$2:$M$170</definedName>
    <definedName name="_xlnm.Print_Area" localSheetId="11">'TOKO BENGKEL'!$A$1:$P$112</definedName>
    <definedName name="D" localSheetId="11">#REF!</definedName>
    <definedName name="\X" localSheetId="11">#REF!</definedName>
    <definedName name="____________LLL01" localSheetId="11">#REF!</definedName>
    <definedName name="____________LLL02" localSheetId="11">#REF!</definedName>
    <definedName name="____________LLL03" localSheetId="11">#REF!</definedName>
    <definedName name="____________LLL04" localSheetId="11">#REF!</definedName>
    <definedName name="____________LLL05" localSheetId="11">#REF!</definedName>
    <definedName name="____________LLL06" localSheetId="11">#REF!</definedName>
    <definedName name="____________LLL07" localSheetId="11">#REF!</definedName>
    <definedName name="____________LLL08" localSheetId="11">#REF!</definedName>
    <definedName name="____________LLL09" localSheetId="11">#REF!</definedName>
    <definedName name="____________LLL10" localSheetId="11">#REF!</definedName>
    <definedName name="____________LLL11" localSheetId="11">#REF!</definedName>
    <definedName name="____________MMM01" localSheetId="11">#REF!</definedName>
    <definedName name="____________MMM02" localSheetId="11">#REF!</definedName>
    <definedName name="____________MMM03" localSheetId="11">#REF!</definedName>
    <definedName name="____________MMM04" localSheetId="11">#REF!</definedName>
    <definedName name="____________MMM05" localSheetId="11">#REF!</definedName>
    <definedName name="____________MMM06" localSheetId="11">#REF!</definedName>
    <definedName name="____________MMM07" localSheetId="11">#REF!</definedName>
    <definedName name="____________MMM08" localSheetId="11">#REF!</definedName>
    <definedName name="____________MMM09" localSheetId="11">#REF!</definedName>
    <definedName name="____________MMM10" localSheetId="11">#REF!</definedName>
    <definedName name="____________MMM11" localSheetId="11">#REF!</definedName>
    <definedName name="____________MMM12" localSheetId="11">#REF!</definedName>
    <definedName name="____________MMM13" localSheetId="11">#REF!</definedName>
    <definedName name="____________MMM14" localSheetId="11">#REF!</definedName>
    <definedName name="____________MMM15" localSheetId="11">#REF!</definedName>
    <definedName name="____________MMM16" localSheetId="11">#REF!</definedName>
    <definedName name="____________MMM17" localSheetId="11">#REF!</definedName>
    <definedName name="____________MMM18" localSheetId="11">#REF!</definedName>
    <definedName name="____________MMM19" localSheetId="11">#REF!</definedName>
    <definedName name="____________MMM20" localSheetId="11">#REF!</definedName>
    <definedName name="____________MMM21" localSheetId="11">#REF!</definedName>
    <definedName name="____________MMM22" localSheetId="11">#REF!</definedName>
    <definedName name="____________MMM23" localSheetId="11">#REF!</definedName>
    <definedName name="____________MMM24" localSheetId="11">#REF!</definedName>
    <definedName name="____________MMM25" localSheetId="11">#REF!</definedName>
    <definedName name="____________MMM26" localSheetId="11">#REF!</definedName>
    <definedName name="____________MMM27" localSheetId="11">#REF!</definedName>
    <definedName name="____________MMM28" localSheetId="11">#REF!</definedName>
    <definedName name="____________MMM29" localSheetId="11">#REF!</definedName>
    <definedName name="____________MMM30" localSheetId="11">#REF!</definedName>
    <definedName name="____________MMM31" localSheetId="11">#REF!</definedName>
    <definedName name="____________MMM32" localSheetId="11">#REF!</definedName>
    <definedName name="____________MMM33" localSheetId="11">#REF!</definedName>
    <definedName name="____________MMM34" localSheetId="11">#REF!</definedName>
    <definedName name="____________MMM35" localSheetId="11">#REF!</definedName>
    <definedName name="____________MMM36" localSheetId="11">#REF!</definedName>
    <definedName name="____________MMM37" localSheetId="11">#REF!</definedName>
    <definedName name="____________MMM38" localSheetId="11">#REF!</definedName>
    <definedName name="____________MMM39" localSheetId="11">#REF!</definedName>
    <definedName name="____________MMM40" localSheetId="11">#REF!</definedName>
    <definedName name="____________MMM41" localSheetId="11">#REF!</definedName>
    <definedName name="____________MMM411" localSheetId="11">#REF!</definedName>
    <definedName name="____________MMM42" localSheetId="11">#REF!</definedName>
    <definedName name="____________MMM43" localSheetId="11">#REF!</definedName>
    <definedName name="____________MMM44" localSheetId="11">#REF!</definedName>
    <definedName name="____________MMM45" localSheetId="11">#REF!</definedName>
    <definedName name="____________MMM46" localSheetId="11">#REF!</definedName>
    <definedName name="____________MMM47" localSheetId="11">#REF!</definedName>
    <definedName name="____________MMM48" localSheetId="11">#REF!</definedName>
    <definedName name="____________MMM49" localSheetId="11">#REF!</definedName>
    <definedName name="____________MMM50" localSheetId="11">#REF!</definedName>
    <definedName name="____________MMM51" localSheetId="11">#REF!</definedName>
    <definedName name="____________MMM52" localSheetId="11">#REF!</definedName>
    <definedName name="____________MMM53" localSheetId="11">#REF!</definedName>
    <definedName name="____________MMM54" localSheetId="11">#REF!</definedName>
    <definedName name="___________LLL01" localSheetId="11">#REF!</definedName>
    <definedName name="___________LLL02" localSheetId="11">#REF!</definedName>
    <definedName name="___________LLL03" localSheetId="11">#REF!</definedName>
    <definedName name="___________LLL04" localSheetId="11">#REF!</definedName>
    <definedName name="___________LLL05" localSheetId="11">#REF!</definedName>
    <definedName name="___________LLL06" localSheetId="11">#REF!</definedName>
    <definedName name="___________LLL07" localSheetId="11">#REF!</definedName>
    <definedName name="___________LLL08" localSheetId="11">#REF!</definedName>
    <definedName name="___________LLL09" localSheetId="11">#REF!</definedName>
    <definedName name="___________LLL10" localSheetId="11">#REF!</definedName>
    <definedName name="___________LLL11" localSheetId="11">#REF!</definedName>
    <definedName name="___________MMM01" localSheetId="11">#REF!</definedName>
    <definedName name="___________MMM02" localSheetId="11">#REF!</definedName>
    <definedName name="___________MMM03" localSheetId="11">#REF!</definedName>
    <definedName name="___________MMM04" localSheetId="11">#REF!</definedName>
    <definedName name="___________MMM05" localSheetId="11">#REF!</definedName>
    <definedName name="___________MMM06" localSheetId="11">#REF!</definedName>
    <definedName name="___________MMM07" localSheetId="11">#REF!</definedName>
    <definedName name="___________MMM08" localSheetId="11">#REF!</definedName>
    <definedName name="___________MMM09" localSheetId="11">#REF!</definedName>
    <definedName name="___________MMM10" localSheetId="11">#REF!</definedName>
    <definedName name="___________MMM11" localSheetId="11">#REF!</definedName>
    <definedName name="___________MMM12" localSheetId="11">#REF!</definedName>
    <definedName name="___________MMM13" localSheetId="11">#REF!</definedName>
    <definedName name="___________MMM14" localSheetId="11">#REF!</definedName>
    <definedName name="___________MMM15" localSheetId="11">#REF!</definedName>
    <definedName name="___________MMM16" localSheetId="11">#REF!</definedName>
    <definedName name="___________MMM17" localSheetId="11">#REF!</definedName>
    <definedName name="___________MMM18" localSheetId="11">#REF!</definedName>
    <definedName name="___________MMM19" localSheetId="11">#REF!</definedName>
    <definedName name="___________MMM20" localSheetId="11">#REF!</definedName>
    <definedName name="___________MMM21" localSheetId="11">#REF!</definedName>
    <definedName name="___________MMM22" localSheetId="11">#REF!</definedName>
    <definedName name="___________MMM23" localSheetId="11">#REF!</definedName>
    <definedName name="___________MMM24" localSheetId="11">#REF!</definedName>
    <definedName name="___________MMM25" localSheetId="11">#REF!</definedName>
    <definedName name="___________MMM26" localSheetId="11">#REF!</definedName>
    <definedName name="___________MMM27" localSheetId="11">#REF!</definedName>
    <definedName name="___________MMM28" localSheetId="11">#REF!</definedName>
    <definedName name="___________MMM29" localSheetId="11">#REF!</definedName>
    <definedName name="___________MMM30" localSheetId="11">#REF!</definedName>
    <definedName name="___________MMM31" localSheetId="11">#REF!</definedName>
    <definedName name="___________MMM32" localSheetId="11">#REF!</definedName>
    <definedName name="___________MMM33" localSheetId="11">#REF!</definedName>
    <definedName name="___________MMM34" localSheetId="11">#REF!</definedName>
    <definedName name="___________MMM35" localSheetId="11">#REF!</definedName>
    <definedName name="___________MMM36" localSheetId="11">#REF!</definedName>
    <definedName name="___________MMM37" localSheetId="11">#REF!</definedName>
    <definedName name="___________MMM38" localSheetId="11">#REF!</definedName>
    <definedName name="___________MMM39" localSheetId="11">#REF!</definedName>
    <definedName name="___________MMM40" localSheetId="11">#REF!</definedName>
    <definedName name="___________MMM41" localSheetId="11">#REF!</definedName>
    <definedName name="___________MMM411" localSheetId="11">#REF!</definedName>
    <definedName name="___________MMM42" localSheetId="11">#REF!</definedName>
    <definedName name="___________MMM43" localSheetId="11">#REF!</definedName>
    <definedName name="___________MMM44" localSheetId="11">#REF!</definedName>
    <definedName name="___________MMM45" localSheetId="11">#REF!</definedName>
    <definedName name="___________MMM46" localSheetId="11">#REF!</definedName>
    <definedName name="___________MMM47" localSheetId="11">#REF!</definedName>
    <definedName name="___________MMM48" localSheetId="11">#REF!</definedName>
    <definedName name="___________MMM49" localSheetId="11">#REF!</definedName>
    <definedName name="___________MMM50" localSheetId="11">#REF!</definedName>
    <definedName name="___________MMM51" localSheetId="11">#REF!</definedName>
    <definedName name="___________MMM52" localSheetId="11">#REF!</definedName>
    <definedName name="___________MMM53" localSheetId="11">#REF!</definedName>
    <definedName name="___________MMM54" localSheetId="11">#REF!</definedName>
    <definedName name="__________LLL01" localSheetId="11">#REF!</definedName>
    <definedName name="__________LLL02" localSheetId="11">#REF!</definedName>
    <definedName name="__________LLL03" localSheetId="11">#REF!</definedName>
    <definedName name="__________LLL04" localSheetId="11">#REF!</definedName>
    <definedName name="__________LLL05" localSheetId="11">#REF!</definedName>
    <definedName name="__________LLL06" localSheetId="11">#REF!</definedName>
    <definedName name="__________LLL07" localSheetId="11">#REF!</definedName>
    <definedName name="__________LLL08" localSheetId="11">#REF!</definedName>
    <definedName name="__________LLL09" localSheetId="11">#REF!</definedName>
    <definedName name="__________LLL10" localSheetId="11">#REF!</definedName>
    <definedName name="__________LLL11" localSheetId="11">#REF!</definedName>
    <definedName name="__________MMM01" localSheetId="11">#REF!</definedName>
    <definedName name="__________MMM02" localSheetId="11">#REF!</definedName>
    <definedName name="__________MMM03" localSheetId="11">#REF!</definedName>
    <definedName name="__________MMM04" localSheetId="11">#REF!</definedName>
    <definedName name="__________MMM05" localSheetId="11">#REF!</definedName>
    <definedName name="__________MMM06" localSheetId="11">#REF!</definedName>
    <definedName name="__________MMM07" localSheetId="11">#REF!</definedName>
    <definedName name="__________MMM08" localSheetId="11">#REF!</definedName>
    <definedName name="__________MMM09" localSheetId="11">#REF!</definedName>
    <definedName name="__________MMM10" localSheetId="11">#REF!</definedName>
    <definedName name="__________MMM11" localSheetId="11">#REF!</definedName>
    <definedName name="__________MMM12" localSheetId="11">#REF!</definedName>
    <definedName name="__________MMM13" localSheetId="11">#REF!</definedName>
    <definedName name="__________MMM14" localSheetId="11">#REF!</definedName>
    <definedName name="__________MMM15" localSheetId="11">#REF!</definedName>
    <definedName name="__________MMM16" localSheetId="11">#REF!</definedName>
    <definedName name="__________MMM17" localSheetId="11">#REF!</definedName>
    <definedName name="__________MMM18" localSheetId="11">#REF!</definedName>
    <definedName name="__________MMM19" localSheetId="11">#REF!</definedName>
    <definedName name="__________MMM20" localSheetId="11">#REF!</definedName>
    <definedName name="__________MMM21" localSheetId="11">#REF!</definedName>
    <definedName name="__________MMM22" localSheetId="11">#REF!</definedName>
    <definedName name="__________MMM23" localSheetId="11">#REF!</definedName>
    <definedName name="__________MMM24" localSheetId="11">#REF!</definedName>
    <definedName name="__________MMM25" localSheetId="11">#REF!</definedName>
    <definedName name="__________MMM26" localSheetId="11">#REF!</definedName>
    <definedName name="__________MMM27" localSheetId="11">#REF!</definedName>
    <definedName name="__________MMM28" localSheetId="11">#REF!</definedName>
    <definedName name="__________MMM29" localSheetId="11">#REF!</definedName>
    <definedName name="__________MMM30" localSheetId="11">#REF!</definedName>
    <definedName name="__________MMM31" localSheetId="11">#REF!</definedName>
    <definedName name="__________MMM32" localSheetId="11">#REF!</definedName>
    <definedName name="__________MMM33" localSheetId="11">#REF!</definedName>
    <definedName name="__________MMM34" localSheetId="11">#REF!</definedName>
    <definedName name="__________MMM35" localSheetId="11">#REF!</definedName>
    <definedName name="__________MMM36" localSheetId="11">#REF!</definedName>
    <definedName name="__________MMM37" localSheetId="11">#REF!</definedName>
    <definedName name="__________MMM38" localSheetId="11">#REF!</definedName>
    <definedName name="__________MMM39" localSheetId="11">#REF!</definedName>
    <definedName name="__________MMM40" localSheetId="11">#REF!</definedName>
    <definedName name="__________MMM41" localSheetId="11">#REF!</definedName>
    <definedName name="__________MMM411" localSheetId="11">#REF!</definedName>
    <definedName name="__________MMM42" localSheetId="11">#REF!</definedName>
    <definedName name="__________MMM43" localSheetId="11">#REF!</definedName>
    <definedName name="__________MMM44" localSheetId="11">#REF!</definedName>
    <definedName name="__________MMM45" localSheetId="11">#REF!</definedName>
    <definedName name="__________MMM46" localSheetId="11">#REF!</definedName>
    <definedName name="__________MMM47" localSheetId="11">#REF!</definedName>
    <definedName name="__________MMM48" localSheetId="11">#REF!</definedName>
    <definedName name="__________MMM49" localSheetId="11">#REF!</definedName>
    <definedName name="__________MMM50" localSheetId="11">#REF!</definedName>
    <definedName name="__________MMM51" localSheetId="11">#REF!</definedName>
    <definedName name="__________MMM52" localSheetId="11">#REF!</definedName>
    <definedName name="__________MMM53" localSheetId="11">#REF!</definedName>
    <definedName name="__________MMM54" localSheetId="11">#REF!</definedName>
    <definedName name="_________LLL01" localSheetId="11">#REF!</definedName>
    <definedName name="_________LLL02" localSheetId="11">#REF!</definedName>
    <definedName name="_________LLL03" localSheetId="11">#REF!</definedName>
    <definedName name="_________LLL04" localSheetId="11">#REF!</definedName>
    <definedName name="_________LLL05" localSheetId="11">#REF!</definedName>
    <definedName name="_________LLL06" localSheetId="11">#REF!</definedName>
    <definedName name="_________LLL07" localSheetId="11">#REF!</definedName>
    <definedName name="_________LLL08" localSheetId="11">#REF!</definedName>
    <definedName name="_________LLL09" localSheetId="11">#REF!</definedName>
    <definedName name="_________LLL10" localSheetId="11">#REF!</definedName>
    <definedName name="_________LLL11" localSheetId="11">#REF!</definedName>
    <definedName name="_________MMM01" localSheetId="11">#REF!</definedName>
    <definedName name="_________MMM02" localSheetId="11">#REF!</definedName>
    <definedName name="_________MMM03" localSheetId="11">#REF!</definedName>
    <definedName name="_________MMM04" localSheetId="11">#REF!</definedName>
    <definedName name="_________MMM05" localSheetId="11">#REF!</definedName>
    <definedName name="_________MMM06" localSheetId="11">#REF!</definedName>
    <definedName name="_________MMM07" localSheetId="11">#REF!</definedName>
    <definedName name="_________MMM08" localSheetId="11">#REF!</definedName>
    <definedName name="_________MMM09" localSheetId="11">#REF!</definedName>
    <definedName name="_________MMM10" localSheetId="11">#REF!</definedName>
    <definedName name="_________MMM11" localSheetId="11">#REF!</definedName>
    <definedName name="_________MMM12" localSheetId="11">#REF!</definedName>
    <definedName name="_________MMM13" localSheetId="11">#REF!</definedName>
    <definedName name="_________MMM14" localSheetId="11">#REF!</definedName>
    <definedName name="_________MMM15" localSheetId="11">#REF!</definedName>
    <definedName name="_________MMM16" localSheetId="11">#REF!</definedName>
    <definedName name="_________MMM17" localSheetId="11">#REF!</definedName>
    <definedName name="_________MMM18" localSheetId="11">#REF!</definedName>
    <definedName name="_________MMM19" localSheetId="11">#REF!</definedName>
    <definedName name="_________MMM20" localSheetId="11">#REF!</definedName>
    <definedName name="_________MMM21" localSheetId="11">#REF!</definedName>
    <definedName name="_________MMM22" localSheetId="11">#REF!</definedName>
    <definedName name="_________MMM23" localSheetId="11">#REF!</definedName>
    <definedName name="_________MMM24" localSheetId="11">#REF!</definedName>
    <definedName name="_________MMM25" localSheetId="11">#REF!</definedName>
    <definedName name="_________MMM26" localSheetId="11">#REF!</definedName>
    <definedName name="_________MMM27" localSheetId="11">#REF!</definedName>
    <definedName name="_________MMM28" localSheetId="11">#REF!</definedName>
    <definedName name="_________MMM29" localSheetId="11">#REF!</definedName>
    <definedName name="_________MMM30" localSheetId="11">#REF!</definedName>
    <definedName name="_________MMM31" localSheetId="11">#REF!</definedName>
    <definedName name="_________MMM32" localSheetId="11">#REF!</definedName>
    <definedName name="_________MMM33" localSheetId="11">#REF!</definedName>
    <definedName name="_________MMM34" localSheetId="11">#REF!</definedName>
    <definedName name="_________MMM35" localSheetId="11">#REF!</definedName>
    <definedName name="_________MMM36" localSheetId="11">#REF!</definedName>
    <definedName name="_________MMM37" localSheetId="11">#REF!</definedName>
    <definedName name="_________MMM38" localSheetId="11">#REF!</definedName>
    <definedName name="_________MMM39" localSheetId="11">#REF!</definedName>
    <definedName name="_________MMM40" localSheetId="11">#REF!</definedName>
    <definedName name="_________MMM41" localSheetId="11">#REF!</definedName>
    <definedName name="_________MMM411" localSheetId="11">#REF!</definedName>
    <definedName name="_________MMM42" localSheetId="11">#REF!</definedName>
    <definedName name="_________MMM43" localSheetId="11">#REF!</definedName>
    <definedName name="_________MMM44" localSheetId="11">#REF!</definedName>
    <definedName name="_________MMM45" localSheetId="11">#REF!</definedName>
    <definedName name="_________MMM46" localSheetId="11">#REF!</definedName>
    <definedName name="_________MMM47" localSheetId="11">#REF!</definedName>
    <definedName name="_________MMM48" localSheetId="11">#REF!</definedName>
    <definedName name="_________MMM49" localSheetId="11">#REF!</definedName>
    <definedName name="_________MMM50" localSheetId="11">#REF!</definedName>
    <definedName name="_________MMM51" localSheetId="11">#REF!</definedName>
    <definedName name="_________MMM52" localSheetId="11">#REF!</definedName>
    <definedName name="_________MMM53" localSheetId="11">#REF!</definedName>
    <definedName name="_________MMM54" localSheetId="11">#REF!</definedName>
    <definedName name="________LLL01" localSheetId="11">#REF!</definedName>
    <definedName name="________LLL02" localSheetId="11">#REF!</definedName>
    <definedName name="________LLL03" localSheetId="11">#REF!</definedName>
    <definedName name="________LLL04" localSheetId="11">#REF!</definedName>
    <definedName name="________LLL05" localSheetId="11">#REF!</definedName>
    <definedName name="________LLL06" localSheetId="11">#REF!</definedName>
    <definedName name="________LLL07" localSheetId="11">#REF!</definedName>
    <definedName name="________LLL08" localSheetId="11">#REF!</definedName>
    <definedName name="________LLL09" localSheetId="11">#REF!</definedName>
    <definedName name="________LLL10" localSheetId="11">#REF!</definedName>
    <definedName name="________LLL11" localSheetId="11">#REF!</definedName>
    <definedName name="________MMM01" localSheetId="11">#REF!</definedName>
    <definedName name="________MMM02" localSheetId="11">#REF!</definedName>
    <definedName name="________MMM03" localSheetId="11">#REF!</definedName>
    <definedName name="________MMM04" localSheetId="11">#REF!</definedName>
    <definedName name="________MMM05" localSheetId="11">#REF!</definedName>
    <definedName name="________MMM06" localSheetId="11">#REF!</definedName>
    <definedName name="________MMM07" localSheetId="11">#REF!</definedName>
    <definedName name="________MMM08" localSheetId="11">#REF!</definedName>
    <definedName name="________MMM09" localSheetId="11">#REF!</definedName>
    <definedName name="________MMM10" localSheetId="11">#REF!</definedName>
    <definedName name="________MMM11" localSheetId="11">#REF!</definedName>
    <definedName name="________MMM12" localSheetId="11">#REF!</definedName>
    <definedName name="________MMM13" localSheetId="11">#REF!</definedName>
    <definedName name="________MMM14" localSheetId="11">#REF!</definedName>
    <definedName name="________MMM15" localSheetId="11">#REF!</definedName>
    <definedName name="________MMM16" localSheetId="11">#REF!</definedName>
    <definedName name="________MMM17" localSheetId="11">#REF!</definedName>
    <definedName name="________MMM18" localSheetId="11">#REF!</definedName>
    <definedName name="________MMM19" localSheetId="11">#REF!</definedName>
    <definedName name="________MMM20" localSheetId="11">#REF!</definedName>
    <definedName name="________MMM21" localSheetId="11">#REF!</definedName>
    <definedName name="________MMM22" localSheetId="11">#REF!</definedName>
    <definedName name="________MMM23" localSheetId="11">#REF!</definedName>
    <definedName name="________MMM24" localSheetId="11">#REF!</definedName>
    <definedName name="________MMM25" localSheetId="11">#REF!</definedName>
    <definedName name="________MMM26" localSheetId="11">#REF!</definedName>
    <definedName name="________MMM27" localSheetId="11">#REF!</definedName>
    <definedName name="________MMM28" localSheetId="11">#REF!</definedName>
    <definedName name="________MMM29" localSheetId="11">#REF!</definedName>
    <definedName name="________MMM30" localSheetId="11">#REF!</definedName>
    <definedName name="________MMM31" localSheetId="11">#REF!</definedName>
    <definedName name="________MMM32" localSheetId="11">#REF!</definedName>
    <definedName name="________MMM33" localSheetId="11">#REF!</definedName>
    <definedName name="________MMM34" localSheetId="11">#REF!</definedName>
    <definedName name="________MMM35" localSheetId="11">#REF!</definedName>
    <definedName name="________MMM36" localSheetId="11">#REF!</definedName>
    <definedName name="________MMM37" localSheetId="11">#REF!</definedName>
    <definedName name="________MMM38" localSheetId="11">#REF!</definedName>
    <definedName name="________MMM39" localSheetId="11">#REF!</definedName>
    <definedName name="________MMM40" localSheetId="11">#REF!</definedName>
    <definedName name="________MMM41" localSheetId="11">#REF!</definedName>
    <definedName name="________MMM411" localSheetId="11">#REF!</definedName>
    <definedName name="________MMM42" localSheetId="11">#REF!</definedName>
    <definedName name="________MMM43" localSheetId="11">#REF!</definedName>
    <definedName name="________MMM44" localSheetId="11">#REF!</definedName>
    <definedName name="________MMM45" localSheetId="11">#REF!</definedName>
    <definedName name="________MMM46" localSheetId="11">#REF!</definedName>
    <definedName name="________MMM47" localSheetId="11">#REF!</definedName>
    <definedName name="________MMM48" localSheetId="11">#REF!</definedName>
    <definedName name="________MMM49" localSheetId="11">#REF!</definedName>
    <definedName name="________MMM50" localSheetId="11">#REF!</definedName>
    <definedName name="________MMM51" localSheetId="11">#REF!</definedName>
    <definedName name="________MMM52" localSheetId="11">#REF!</definedName>
    <definedName name="________MMM53" localSheetId="11">#REF!</definedName>
    <definedName name="________MMM54" localSheetId="11">#REF!</definedName>
    <definedName name="_______LLL01" localSheetId="11">#REF!</definedName>
    <definedName name="_______LLL02" localSheetId="11">#REF!</definedName>
    <definedName name="_______LLL03" localSheetId="11">#REF!</definedName>
    <definedName name="_______LLL04" localSheetId="11">#REF!</definedName>
    <definedName name="_______LLL05" localSheetId="11">#REF!</definedName>
    <definedName name="_______LLL06" localSheetId="11">#REF!</definedName>
    <definedName name="_______LLL07" localSheetId="11">#REF!</definedName>
    <definedName name="_______LLL08" localSheetId="11">#REF!</definedName>
    <definedName name="_______LLL09" localSheetId="11">#REF!</definedName>
    <definedName name="_______LLL10" localSheetId="11">#REF!</definedName>
    <definedName name="_______LLL11" localSheetId="11">#REF!</definedName>
    <definedName name="_______MMM01" localSheetId="11">#REF!</definedName>
    <definedName name="_______MMM02" localSheetId="11">#REF!</definedName>
    <definedName name="_______MMM03" localSheetId="11">#REF!</definedName>
    <definedName name="_______MMM04" localSheetId="11">#REF!</definedName>
    <definedName name="_______MMM05" localSheetId="11">#REF!</definedName>
    <definedName name="_______MMM06" localSheetId="11">#REF!</definedName>
    <definedName name="_______MMM07" localSheetId="11">#REF!</definedName>
    <definedName name="_______MMM08" localSheetId="11">#REF!</definedName>
    <definedName name="_______MMM09" localSheetId="11">#REF!</definedName>
    <definedName name="_______MMM10" localSheetId="11">#REF!</definedName>
    <definedName name="_______MMM11" localSheetId="11">#REF!</definedName>
    <definedName name="_______MMM12" localSheetId="11">#REF!</definedName>
    <definedName name="_______MMM13" localSheetId="11">#REF!</definedName>
    <definedName name="_______MMM14" localSheetId="11">#REF!</definedName>
    <definedName name="_______MMM15" localSheetId="11">#REF!</definedName>
    <definedName name="_______MMM16" localSheetId="11">#REF!</definedName>
    <definedName name="_______MMM17" localSheetId="11">#REF!</definedName>
    <definedName name="_______MMM18" localSheetId="11">#REF!</definedName>
    <definedName name="_______MMM19" localSheetId="11">#REF!</definedName>
    <definedName name="_______MMM20" localSheetId="11">#REF!</definedName>
    <definedName name="_______MMM21" localSheetId="11">#REF!</definedName>
    <definedName name="_______MMM22" localSheetId="11">#REF!</definedName>
    <definedName name="_______MMM23" localSheetId="11">#REF!</definedName>
    <definedName name="_______MMM24" localSheetId="11">#REF!</definedName>
    <definedName name="_______MMM25" localSheetId="11">#REF!</definedName>
    <definedName name="_______MMM26" localSheetId="11">#REF!</definedName>
    <definedName name="_______MMM27" localSheetId="11">#REF!</definedName>
    <definedName name="_______MMM28" localSheetId="11">#REF!</definedName>
    <definedName name="_______MMM29" localSheetId="11">#REF!</definedName>
    <definedName name="_______MMM30" localSheetId="11">#REF!</definedName>
    <definedName name="_______MMM31" localSheetId="11">#REF!</definedName>
    <definedName name="_______MMM32" localSheetId="11">#REF!</definedName>
    <definedName name="_______MMM33" localSheetId="11">#REF!</definedName>
    <definedName name="_______MMM34" localSheetId="11">#REF!</definedName>
    <definedName name="_______MMM35" localSheetId="11">#REF!</definedName>
    <definedName name="_______MMM36" localSheetId="11">#REF!</definedName>
    <definedName name="_______MMM37" localSheetId="11">#REF!</definedName>
    <definedName name="_______MMM38" localSheetId="11">#REF!</definedName>
    <definedName name="_______MMM39" localSheetId="11">#REF!</definedName>
    <definedName name="_______MMM40" localSheetId="11">#REF!</definedName>
    <definedName name="_______MMM41" localSheetId="11">#REF!</definedName>
    <definedName name="_______MMM411" localSheetId="11">#REF!</definedName>
    <definedName name="_______MMM42" localSheetId="11">#REF!</definedName>
    <definedName name="_______MMM43" localSheetId="11">#REF!</definedName>
    <definedName name="_______MMM44" localSheetId="11">#REF!</definedName>
    <definedName name="_______MMM45" localSheetId="11">#REF!</definedName>
    <definedName name="_______MMM46" localSheetId="11">#REF!</definedName>
    <definedName name="_______MMM47" localSheetId="11">#REF!</definedName>
    <definedName name="_______MMM48" localSheetId="11">#REF!</definedName>
    <definedName name="_______MMM49" localSheetId="11">#REF!</definedName>
    <definedName name="_______MMM50" localSheetId="11">#REF!</definedName>
    <definedName name="_______MMM51" localSheetId="11">#REF!</definedName>
    <definedName name="_______MMM52" localSheetId="11">#REF!</definedName>
    <definedName name="_______MMM53" localSheetId="11">#REF!</definedName>
    <definedName name="_______MMM54" localSheetId="11">#REF!</definedName>
    <definedName name="______LLL01" localSheetId="11">#REF!</definedName>
    <definedName name="______LLL02" localSheetId="11">#REF!</definedName>
    <definedName name="______LLL03" localSheetId="11">#REF!</definedName>
    <definedName name="______LLL04" localSheetId="11">#REF!</definedName>
    <definedName name="______LLL05" localSheetId="11">#REF!</definedName>
    <definedName name="______LLL06" localSheetId="11">#REF!</definedName>
    <definedName name="______LLL07" localSheetId="11">#REF!</definedName>
    <definedName name="______LLL08" localSheetId="11">#REF!</definedName>
    <definedName name="______LLL09" localSheetId="11">#REF!</definedName>
    <definedName name="______LLL10" localSheetId="11">#REF!</definedName>
    <definedName name="______LLL11" localSheetId="11">#REF!</definedName>
    <definedName name="______MMM01" localSheetId="11">#REF!</definedName>
    <definedName name="______MMM02" localSheetId="11">#REF!</definedName>
    <definedName name="______MMM03" localSheetId="11">#REF!</definedName>
    <definedName name="______MMM04" localSheetId="11">#REF!</definedName>
    <definedName name="______MMM05" localSheetId="11">#REF!</definedName>
    <definedName name="______MMM06" localSheetId="11">#REF!</definedName>
    <definedName name="______MMM07" localSheetId="11">#REF!</definedName>
    <definedName name="______MMM08" localSheetId="11">#REF!</definedName>
    <definedName name="______MMM09" localSheetId="11">#REF!</definedName>
    <definedName name="______MMM10" localSheetId="11">#REF!</definedName>
    <definedName name="______MMM11" localSheetId="11">#REF!</definedName>
    <definedName name="______MMM12" localSheetId="11">#REF!</definedName>
    <definedName name="______MMM13" localSheetId="11">#REF!</definedName>
    <definedName name="______MMM14" localSheetId="11">#REF!</definedName>
    <definedName name="______MMM15" localSheetId="11">#REF!</definedName>
    <definedName name="______MMM16" localSheetId="11">#REF!</definedName>
    <definedName name="______MMM17" localSheetId="11">#REF!</definedName>
    <definedName name="______MMM18" localSheetId="11">#REF!</definedName>
    <definedName name="______MMM19" localSheetId="11">#REF!</definedName>
    <definedName name="______MMM20" localSheetId="11">#REF!</definedName>
    <definedName name="______MMM21" localSheetId="11">#REF!</definedName>
    <definedName name="______MMM22" localSheetId="11">#REF!</definedName>
    <definedName name="______MMM23" localSheetId="11">#REF!</definedName>
    <definedName name="______MMM24" localSheetId="11">#REF!</definedName>
    <definedName name="______MMM25" localSheetId="11">#REF!</definedName>
    <definedName name="______MMM26" localSheetId="11">#REF!</definedName>
    <definedName name="______MMM27" localSheetId="11">#REF!</definedName>
    <definedName name="______MMM28" localSheetId="11">#REF!</definedName>
    <definedName name="______MMM29" localSheetId="11">#REF!</definedName>
    <definedName name="______MMM30" localSheetId="11">#REF!</definedName>
    <definedName name="______MMM31" localSheetId="11">#REF!</definedName>
    <definedName name="______MMM32" localSheetId="11">#REF!</definedName>
    <definedName name="______MMM33" localSheetId="11">#REF!</definedName>
    <definedName name="______MMM34" localSheetId="11">#REF!</definedName>
    <definedName name="______MMM35" localSheetId="11">#REF!</definedName>
    <definedName name="______MMM36" localSheetId="11">#REF!</definedName>
    <definedName name="______MMM37" localSheetId="11">#REF!</definedName>
    <definedName name="______MMM38" localSheetId="11">#REF!</definedName>
    <definedName name="______MMM39" localSheetId="11">#REF!</definedName>
    <definedName name="______MMM40" localSheetId="11">#REF!</definedName>
    <definedName name="______MMM41" localSheetId="11">#REF!</definedName>
    <definedName name="______MMM411" localSheetId="11">#REF!</definedName>
    <definedName name="______MMM42" localSheetId="11">#REF!</definedName>
    <definedName name="______MMM43" localSheetId="11">#REF!</definedName>
    <definedName name="______MMM44" localSheetId="11">#REF!</definedName>
    <definedName name="______MMM45" localSheetId="11">#REF!</definedName>
    <definedName name="______MMM46" localSheetId="11">#REF!</definedName>
    <definedName name="______MMM47" localSheetId="11">#REF!</definedName>
    <definedName name="______MMM48" localSheetId="11">#REF!</definedName>
    <definedName name="______MMM49" localSheetId="11">#REF!</definedName>
    <definedName name="______MMM50" localSheetId="11">#REF!</definedName>
    <definedName name="______MMM51" localSheetId="11">#REF!</definedName>
    <definedName name="______MMM52" localSheetId="11">#REF!</definedName>
    <definedName name="______MMM53" localSheetId="11">#REF!</definedName>
    <definedName name="______MMM54" localSheetId="11">#REF!</definedName>
    <definedName name="_____LLL01" localSheetId="11">#REF!</definedName>
    <definedName name="_____LLL02" localSheetId="11">#REF!</definedName>
    <definedName name="_____LLL03" localSheetId="11">#REF!</definedName>
    <definedName name="_____LLL04" localSheetId="11">#REF!</definedName>
    <definedName name="_____LLL05" localSheetId="11">#REF!</definedName>
    <definedName name="_____LLL06" localSheetId="11">#REF!</definedName>
    <definedName name="_____LLL07" localSheetId="11">#REF!</definedName>
    <definedName name="_____LLL08" localSheetId="11">#REF!</definedName>
    <definedName name="_____LLL09" localSheetId="11">#REF!</definedName>
    <definedName name="_____LLL10" localSheetId="11">#REF!</definedName>
    <definedName name="_____LLL11" localSheetId="11">#REF!</definedName>
    <definedName name="_____MMM01" localSheetId="11">#REF!</definedName>
    <definedName name="_____MMM02" localSheetId="11">#REF!</definedName>
    <definedName name="_____MMM03" localSheetId="11">#REF!</definedName>
    <definedName name="_____MMM04" localSheetId="11">#REF!</definedName>
    <definedName name="_____MMM05" localSheetId="11">#REF!</definedName>
    <definedName name="_____MMM06" localSheetId="11">#REF!</definedName>
    <definedName name="_____MMM07" localSheetId="11">#REF!</definedName>
    <definedName name="_____MMM08" localSheetId="11">#REF!</definedName>
    <definedName name="_____MMM09" localSheetId="11">#REF!</definedName>
    <definedName name="_____MMM10" localSheetId="11">#REF!</definedName>
    <definedName name="_____MMM11" localSheetId="11">#REF!</definedName>
    <definedName name="_____MMM12" localSheetId="11">#REF!</definedName>
    <definedName name="_____MMM13" localSheetId="11">#REF!</definedName>
    <definedName name="_____MMM14" localSheetId="11">#REF!</definedName>
    <definedName name="_____MMM15" localSheetId="11">#REF!</definedName>
    <definedName name="_____MMM16" localSheetId="11">#REF!</definedName>
    <definedName name="_____MMM17" localSheetId="11">#REF!</definedName>
    <definedName name="_____MMM18" localSheetId="11">#REF!</definedName>
    <definedName name="_____MMM19" localSheetId="11">#REF!</definedName>
    <definedName name="_____MMM20" localSheetId="11">#REF!</definedName>
    <definedName name="_____MMM21" localSheetId="11">#REF!</definedName>
    <definedName name="_____MMM22" localSheetId="11">#REF!</definedName>
    <definedName name="_____MMM23" localSheetId="11">#REF!</definedName>
    <definedName name="_____MMM24" localSheetId="11">#REF!</definedName>
    <definedName name="_____MMM25" localSheetId="11">#REF!</definedName>
    <definedName name="_____MMM26" localSheetId="11">#REF!</definedName>
    <definedName name="_____MMM27" localSheetId="11">#REF!</definedName>
    <definedName name="_____MMM28" localSheetId="11">#REF!</definedName>
    <definedName name="_____MMM29" localSheetId="11">#REF!</definedName>
    <definedName name="_____MMM30" localSheetId="11">#REF!</definedName>
    <definedName name="_____MMM31" localSheetId="11">#REF!</definedName>
    <definedName name="_____MMM32" localSheetId="11">#REF!</definedName>
    <definedName name="_____MMM33" localSheetId="11">#REF!</definedName>
    <definedName name="_____MMM34" localSheetId="11">#REF!</definedName>
    <definedName name="_____MMM35" localSheetId="11">#REF!</definedName>
    <definedName name="_____MMM36" localSheetId="11">#REF!</definedName>
    <definedName name="_____MMM37" localSheetId="11">#REF!</definedName>
    <definedName name="_____MMM38" localSheetId="11">#REF!</definedName>
    <definedName name="_____MMM39" localSheetId="11">#REF!</definedName>
    <definedName name="_____MMM40" localSheetId="11">#REF!</definedName>
    <definedName name="_____MMM41" localSheetId="11">#REF!</definedName>
    <definedName name="_____MMM411" localSheetId="11">#REF!</definedName>
    <definedName name="_____MMM42" localSheetId="11">#REF!</definedName>
    <definedName name="_____MMM43" localSheetId="11">#REF!</definedName>
    <definedName name="_____MMM44" localSheetId="11">#REF!</definedName>
    <definedName name="_____MMM45" localSheetId="11">#REF!</definedName>
    <definedName name="_____MMM46" localSheetId="11">#REF!</definedName>
    <definedName name="_____MMM47" localSheetId="11">#REF!</definedName>
    <definedName name="_____MMM48" localSheetId="11">#REF!</definedName>
    <definedName name="_____MMM49" localSheetId="11">#REF!</definedName>
    <definedName name="_____MMM50" localSheetId="11">#REF!</definedName>
    <definedName name="_____MMM51" localSheetId="11">#REF!</definedName>
    <definedName name="_____MMM52" localSheetId="11">#REF!</definedName>
    <definedName name="_____MMM53" localSheetId="11">#REF!</definedName>
    <definedName name="_____MMM54" localSheetId="11">#REF!</definedName>
    <definedName name="____LLL01" localSheetId="11">#REF!</definedName>
    <definedName name="____LLL02" localSheetId="11">#REF!</definedName>
    <definedName name="____LLL03" localSheetId="11">#REF!</definedName>
    <definedName name="____LLL04" localSheetId="11">#REF!</definedName>
    <definedName name="____LLL05" localSheetId="11">#REF!</definedName>
    <definedName name="____LLL06" localSheetId="11">#REF!</definedName>
    <definedName name="____LLL07" localSheetId="11">#REF!</definedName>
    <definedName name="____LLL08" localSheetId="11">#REF!</definedName>
    <definedName name="____LLL09" localSheetId="11">#REF!</definedName>
    <definedName name="____LLL10" localSheetId="11">#REF!</definedName>
    <definedName name="____LLL11" localSheetId="11">#REF!</definedName>
    <definedName name="____MMM01" localSheetId="11">#REF!</definedName>
    <definedName name="____MMM02" localSheetId="11">#REF!</definedName>
    <definedName name="____MMM03" localSheetId="11">#REF!</definedName>
    <definedName name="____MMM04" localSheetId="11">#REF!</definedName>
    <definedName name="____MMM05" localSheetId="11">#REF!</definedName>
    <definedName name="____MMM06" localSheetId="11">#REF!</definedName>
    <definedName name="____MMM07" localSheetId="11">#REF!</definedName>
    <definedName name="____MMM08" localSheetId="11">#REF!</definedName>
    <definedName name="____MMM09" localSheetId="11">#REF!</definedName>
    <definedName name="____MMM10" localSheetId="11">#REF!</definedName>
    <definedName name="____MMM11" localSheetId="11">#REF!</definedName>
    <definedName name="____MMM12" localSheetId="11">#REF!</definedName>
    <definedName name="____MMM13" localSheetId="11">#REF!</definedName>
    <definedName name="____MMM14" localSheetId="11">#REF!</definedName>
    <definedName name="____MMM15" localSheetId="11">#REF!</definedName>
    <definedName name="____MMM16" localSheetId="11">#REF!</definedName>
    <definedName name="____MMM17" localSheetId="11">#REF!</definedName>
    <definedName name="____MMM18" localSheetId="11">#REF!</definedName>
    <definedName name="____MMM19" localSheetId="11">#REF!</definedName>
    <definedName name="____MMM20" localSheetId="11">#REF!</definedName>
    <definedName name="____MMM21" localSheetId="11">#REF!</definedName>
    <definedName name="____MMM22" localSheetId="11">#REF!</definedName>
    <definedName name="____MMM23" localSheetId="11">#REF!</definedName>
    <definedName name="____MMM24" localSheetId="11">#REF!</definedName>
    <definedName name="____MMM25" localSheetId="11">#REF!</definedName>
    <definedName name="____MMM26" localSheetId="11">#REF!</definedName>
    <definedName name="____MMM27" localSheetId="11">#REF!</definedName>
    <definedName name="____MMM28" localSheetId="11">#REF!</definedName>
    <definedName name="____MMM29" localSheetId="11">#REF!</definedName>
    <definedName name="____MMM30" localSheetId="11">#REF!</definedName>
    <definedName name="____MMM31" localSheetId="11">#REF!</definedName>
    <definedName name="____MMM32" localSheetId="11">#REF!</definedName>
    <definedName name="____MMM33" localSheetId="11">#REF!</definedName>
    <definedName name="____MMM34" localSheetId="11">#REF!</definedName>
    <definedName name="____MMM35" localSheetId="11">#REF!</definedName>
    <definedName name="____MMM36" localSheetId="11">#REF!</definedName>
    <definedName name="____MMM37" localSheetId="11">#REF!</definedName>
    <definedName name="____MMM38" localSheetId="11">#REF!</definedName>
    <definedName name="____MMM39" localSheetId="11">#REF!</definedName>
    <definedName name="____MMM40" localSheetId="11">#REF!</definedName>
    <definedName name="____MMM41" localSheetId="11">#REF!</definedName>
    <definedName name="____MMM411" localSheetId="11">#REF!</definedName>
    <definedName name="____MMM42" localSheetId="11">#REF!</definedName>
    <definedName name="____MMM43" localSheetId="11">#REF!</definedName>
    <definedName name="____MMM44" localSheetId="11">#REF!</definedName>
    <definedName name="____MMM45" localSheetId="11">#REF!</definedName>
    <definedName name="____MMM46" localSheetId="11">#REF!</definedName>
    <definedName name="____MMM47" localSheetId="11">#REF!</definedName>
    <definedName name="____MMM48" localSheetId="11">#REF!</definedName>
    <definedName name="____MMM49" localSheetId="11">#REF!</definedName>
    <definedName name="____MMM50" localSheetId="11">#REF!</definedName>
    <definedName name="____MMM51" localSheetId="11">#REF!</definedName>
    <definedName name="____MMM52" localSheetId="11">#REF!</definedName>
    <definedName name="____MMM53" localSheetId="11">#REF!</definedName>
    <definedName name="____MMM54" localSheetId="11">#REF!</definedName>
    <definedName name="___MDE26" localSheetId="11">#REF!</definedName>
    <definedName name="___ME26" localSheetId="11">#REF!</definedName>
    <definedName name="__HAL1" localSheetId="11">#REF!</definedName>
    <definedName name="__MDE26" localSheetId="11">#REF!</definedName>
    <definedName name="__ME26" localSheetId="11">#REF!</definedName>
    <definedName name="__sp606" localSheetId="11">#REF!</definedName>
    <definedName name="_110" localSheetId="11">#REF!</definedName>
    <definedName name="_210" localSheetId="11">#REF!</definedName>
    <definedName name="_224" localSheetId="11">#REF!</definedName>
    <definedName name="_225" localSheetId="11">#REF!</definedName>
    <definedName name="_310" localSheetId="11">#REF!</definedName>
    <definedName name="_410" localSheetId="11">#REF!</definedName>
    <definedName name="_424" localSheetId="11">#REF!</definedName>
    <definedName name="_514" localSheetId="11">#REF!</definedName>
    <definedName name="_705" localSheetId="11">#REF!</definedName>
    <definedName name="_EEE01" localSheetId="11">#REF!</definedName>
    <definedName name="_EEE03" localSheetId="11">#REF!</definedName>
    <definedName name="_EEE04" localSheetId="11">#REF!</definedName>
    <definedName name="_EEE12" localSheetId="11">#REF!</definedName>
    <definedName name="_EEE14" localSheetId="11">#REF!</definedName>
    <definedName name="_EEE15" localSheetId="11">#REF!</definedName>
    <definedName name="_EEE18" localSheetId="11">#REF!</definedName>
    <definedName name="_EEE19" localSheetId="11">#REF!</definedName>
    <definedName name="_EEE20" localSheetId="11">#REF!</definedName>
    <definedName name="_EEE21" localSheetId="11">#REF!</definedName>
    <definedName name="_EEE22" localSheetId="11">#REF!</definedName>
    <definedName name="_EEE24" localSheetId="11">#REF!</definedName>
    <definedName name="_EEE25" localSheetId="11">#REF!</definedName>
    <definedName name="_EEE26" localSheetId="11">#REF!</definedName>
    <definedName name="_EEE28" localSheetId="11">#REF!</definedName>
    <definedName name="_EEE30" localSheetId="11">#REF!</definedName>
    <definedName name="_EEE32" localSheetId="11">#REF!</definedName>
    <definedName name="_EEE33" localSheetId="11">#REF!</definedName>
    <definedName name="_Fill" localSheetId="11" hidden="1">#REF!</definedName>
    <definedName name="_HAL1" localSheetId="11">#REF!</definedName>
    <definedName name="_Key1" localSheetId="11" hidden="1">#REF!</definedName>
    <definedName name="_Key2" localSheetId="11" hidden="1">#REF!</definedName>
    <definedName name="_MDE26" localSheetId="11">#REF!</definedName>
    <definedName name="_ME26" localSheetId="11">#REF!</definedName>
    <definedName name="_Sort" localSheetId="11" hidden="1">#REF!</definedName>
    <definedName name="_sp606" localSheetId="11">#REF!</definedName>
    <definedName name="_Table1_In1" localSheetId="11" hidden="1">#REF!</definedName>
    <definedName name="_Table1_Out" localSheetId="11" hidden="1">#REF!</definedName>
    <definedName name="_Table2_In1" localSheetId="11" hidden="1">#REF!</definedName>
    <definedName name="_Table2_In2" localSheetId="11" hidden="1">#REF!</definedName>
    <definedName name="_Table2_Out" localSheetId="11" hidden="1">#REF!</definedName>
    <definedName name="A.1" localSheetId="11">#REF!</definedName>
    <definedName name="A.16" localSheetId="11">#REF!</definedName>
    <definedName name="A.18_PASIR" localSheetId="11">#REF!</definedName>
    <definedName name="A.18_TANAH" localSheetId="11">#REF!</definedName>
    <definedName name="A.2" localSheetId="11">#REF!</definedName>
    <definedName name="A.4" localSheetId="11">#REF!</definedName>
    <definedName name="A_1" localSheetId="11">#REF!</definedName>
    <definedName name="AAA" localSheetId="11">#REF!</definedName>
    <definedName name="adsdsd" localSheetId="11">#REF!</definedName>
    <definedName name="alat" localSheetId="11">#REF!</definedName>
    <definedName name="ALATUTAMA" localSheetId="11">#REF!</definedName>
    <definedName name="AMP" localSheetId="11">#REF!</definedName>
    <definedName name="AN.1" localSheetId="11">#REF!</definedName>
    <definedName name="april" localSheetId="11">#REF!</definedName>
    <definedName name="asdasd" localSheetId="11">#REF!</definedName>
    <definedName name="ATAP" localSheetId="11">#REF!</definedName>
    <definedName name="bb" localSheetId="11">#REF!</definedName>
    <definedName name="bbb" localSheetId="11">#REF!</definedName>
    <definedName name="BET_NON_STRUK" localSheetId="11">#REF!</definedName>
    <definedName name="bhn" localSheetId="11">#REF!</definedName>
    <definedName name="BHN.MAROS" localSheetId="11">#REF!</definedName>
    <definedName name="bhn.maros1" localSheetId="11">#REF!</definedName>
    <definedName name="bhn.pangkep" localSheetId="11">#REF!</definedName>
    <definedName name="bnb" localSheetId="11">#REF!</definedName>
    <definedName name="BULLDOZER" localSheetId="11">#REF!</definedName>
    <definedName name="CAT" localSheetId="11">#REF!</definedName>
    <definedName name="CCCC" localSheetId="11" hidden="1">#REF!</definedName>
    <definedName name="COMPRESSOR" localSheetId="11">#REF!</definedName>
    <definedName name="CONCRETEMIXER" localSheetId="11">#REF!</definedName>
    <definedName name="CONCRETEVIBRO" localSheetId="11">#REF!</definedName>
    <definedName name="CRANE" localSheetId="11">#REF!</definedName>
    <definedName name="DAFTARSEWA" localSheetId="11">#REF!</definedName>
    <definedName name="dd" localSheetId="11" hidden="1">#REF!</definedName>
    <definedName name="dddd" localSheetId="11" hidden="1">#REF!</definedName>
    <definedName name="deuicker" localSheetId="11">#REF!</definedName>
    <definedName name="Dibuat_tgl" localSheetId="11">#REF!</definedName>
    <definedName name="DINDING" localSheetId="11">#REF!</definedName>
    <definedName name="Disiapkan_oleh" localSheetId="11">#REF!</definedName>
    <definedName name="DUMPTRUCK1" localSheetId="11">#REF!</definedName>
    <definedName name="DUMPTRUCK2" localSheetId="11">#REF!</definedName>
    <definedName name="E.13" localSheetId="11">#REF!</definedName>
    <definedName name="E_001" localSheetId="11">#REF!</definedName>
    <definedName name="E_010" localSheetId="11">#REF!</definedName>
    <definedName name="E_031" localSheetId="11">#REF!</definedName>
    <definedName name="E_040" localSheetId="11">#REF!</definedName>
    <definedName name="E_052" localSheetId="11">#REF!</definedName>
    <definedName name="E_080" localSheetId="11">#REF!</definedName>
    <definedName name="E_081" localSheetId="11">#REF!</definedName>
    <definedName name="E_084" localSheetId="11">#REF!</definedName>
    <definedName name="E_087" localSheetId="11">#REF!</definedName>
    <definedName name="E_088" localSheetId="11">#REF!</definedName>
    <definedName name="E_089" localSheetId="11">#REF!</definedName>
    <definedName name="E_13" localSheetId="11">#REF!</definedName>
    <definedName name="E_153" localSheetId="11">#REF!</definedName>
    <definedName name="E_154" localSheetId="11">#REF!</definedName>
    <definedName name="E_155" localSheetId="11">#REF!</definedName>
    <definedName name="E_157" localSheetId="11">#REF!</definedName>
    <definedName name="E_182" localSheetId="11">#REF!</definedName>
    <definedName name="E_211" localSheetId="11">#REF!</definedName>
    <definedName name="E_212" localSheetId="11">#REF!</definedName>
    <definedName name="E_221" localSheetId="11">#REF!</definedName>
    <definedName name="E_251" localSheetId="11">#REF!</definedName>
    <definedName name="E_253" localSheetId="11">#REF!</definedName>
    <definedName name="E_301" localSheetId="11">#REF!</definedName>
    <definedName name="E_341" localSheetId="11">#REF!</definedName>
    <definedName name="EXCAVATOR" localSheetId="11">#REF!</definedName>
    <definedName name="F.1_I" localSheetId="11">#REF!</definedName>
    <definedName name="F.1_II" localSheetId="11">#REF!</definedName>
    <definedName name="F.16" localSheetId="11">#REF!</definedName>
    <definedName name="F.21_I" localSheetId="11">#REF!</definedName>
    <definedName name="F.21_II" localSheetId="11">#REF!</definedName>
    <definedName name="F.22_I" localSheetId="11">#REF!</definedName>
    <definedName name="F.22_II" localSheetId="11">#REF!</definedName>
    <definedName name="F.27_I" localSheetId="11">#REF!</definedName>
    <definedName name="F.27_II" localSheetId="11">#REF!</definedName>
    <definedName name="F.30_I_TEAK" localSheetId="11">#REF!</definedName>
    <definedName name="F.30_I_TRIP" localSheetId="11">#REF!</definedName>
    <definedName name="F.30_II_TEAK" localSheetId="11">#REF!</definedName>
    <definedName name="F.30_II_TRIP" localSheetId="11">#REF!</definedName>
    <definedName name="F.31_I" localSheetId="11">#REF!</definedName>
    <definedName name="F.31_II" localSheetId="11">#REF!</definedName>
    <definedName name="F.33_I" localSheetId="11">#REF!</definedName>
    <definedName name="F.33_II" localSheetId="11">#REF!</definedName>
    <definedName name="F.35_B3" localSheetId="11">#REF!</definedName>
    <definedName name="F.35_B5" localSheetId="11">#REF!</definedName>
    <definedName name="F.35_R3" localSheetId="11">#REF!</definedName>
    <definedName name="F.35_R5" localSheetId="11">#REF!</definedName>
    <definedName name="F.36_B_I" localSheetId="11">#REF!</definedName>
    <definedName name="F.36_B_II" localSheetId="11">#REF!</definedName>
    <definedName name="F.36_R_I" localSheetId="11">#REF!</definedName>
    <definedName name="F.36_R_II" localSheetId="11">#REF!</definedName>
    <definedName name="F.36A_I" localSheetId="11">#REF!</definedName>
    <definedName name="F.36A_II" localSheetId="11">#REF!</definedName>
    <definedName name="F.37_P_I" localSheetId="11">#REF!</definedName>
    <definedName name="F.37_P_II" localSheetId="11">#REF!</definedName>
    <definedName name="F.37_T" localSheetId="11">#REF!</definedName>
    <definedName name="F.37_TEAK" localSheetId="11">#REF!</definedName>
    <definedName name="F.38_I" localSheetId="11">#REF!</definedName>
    <definedName name="F.38_II" localSheetId="11">#REF!</definedName>
    <definedName name="F.47_I" localSheetId="11">#REF!</definedName>
    <definedName name="F.47_II" localSheetId="11">#REF!</definedName>
    <definedName name="FFF" localSheetId="11">#REF!</definedName>
    <definedName name="FINISHER" localSheetId="11">#REF!</definedName>
    <definedName name="FINISHING" localSheetId="11">#REF!</definedName>
    <definedName name="FLATBEDTRUCK" localSheetId="11">#REF!</definedName>
    <definedName name="FORM323L" localSheetId="11">#REF!</definedName>
    <definedName name="FORM611" localSheetId="11">#REF!</definedName>
    <definedName name="FORM612" localSheetId="11">#REF!</definedName>
    <definedName name="FORM621" localSheetId="11">#REF!</definedName>
    <definedName name="FORM622" localSheetId="11">#REF!</definedName>
    <definedName name="FORM623" localSheetId="11">#REF!</definedName>
    <definedName name="FORM631" localSheetId="11">#REF!</definedName>
    <definedName name="FORM632" localSheetId="11">#REF!</definedName>
    <definedName name="FORM633" localSheetId="11">#REF!</definedName>
    <definedName name="FORM634" localSheetId="11">#REF!</definedName>
    <definedName name="FORM635" localSheetId="11">#REF!</definedName>
    <definedName name="FORM635A" localSheetId="11">#REF!</definedName>
    <definedName name="FORM636" localSheetId="11">#REF!</definedName>
    <definedName name="FORM641L" localSheetId="11">#REF!</definedName>
    <definedName name="FORM642" localSheetId="11">#REF!</definedName>
    <definedName name="FORM65" localSheetId="11">#REF!</definedName>
    <definedName name="FORM66PERATA" localSheetId="11">#REF!</definedName>
    <definedName name="FORM66PERMUKAAN" localSheetId="11">#REF!</definedName>
    <definedName name="FORM7101" localSheetId="11">#REF!</definedName>
    <definedName name="FORM7102" localSheetId="11">#REF!</definedName>
    <definedName name="FORM7103" localSheetId="11">#REF!</definedName>
    <definedName name="FORM711" localSheetId="11">#REF!</definedName>
    <definedName name="FORM712" localSheetId="11">#REF!</definedName>
    <definedName name="FORM713" localSheetId="11">#REF!</definedName>
    <definedName name="FORM714" localSheetId="11">#REF!</definedName>
    <definedName name="FORM715" localSheetId="11">#REF!</definedName>
    <definedName name="FORM716" localSheetId="11">#REF!</definedName>
    <definedName name="FORM717" localSheetId="11">#REF!</definedName>
    <definedName name="FORM718" localSheetId="11">#REF!</definedName>
    <definedName name="FORM721" localSheetId="11">#REF!</definedName>
    <definedName name="FORM731" localSheetId="11">#REF!</definedName>
    <definedName name="FORM732" localSheetId="11">#REF!</definedName>
    <definedName name="FORM733" localSheetId="11">#REF!</definedName>
    <definedName name="FORM734" localSheetId="11">#REF!</definedName>
    <definedName name="FORM735" localSheetId="11">#REF!</definedName>
    <definedName name="FORM744" localSheetId="11">#REF!</definedName>
    <definedName name="FORM745" localSheetId="11">#REF!</definedName>
    <definedName name="FORM7610" localSheetId="11">#REF!</definedName>
    <definedName name="FORM7612a" localSheetId="11">#REF!</definedName>
    <definedName name="FORM7612b" localSheetId="11">#REF!</definedName>
    <definedName name="FORM7612c" localSheetId="11">#REF!</definedName>
    <definedName name="FORM7613a" localSheetId="11">#REF!</definedName>
    <definedName name="FORM7613b" localSheetId="11">#REF!</definedName>
    <definedName name="FORM7613c" localSheetId="11">#REF!</definedName>
    <definedName name="FORM7614a" localSheetId="11">#REF!</definedName>
    <definedName name="FORM7614b" localSheetId="11">#REF!</definedName>
    <definedName name="FORM7614c" localSheetId="11">#REF!</definedName>
    <definedName name="FORM7614d" localSheetId="11">#REF!</definedName>
    <definedName name="FORM7614e" localSheetId="11">#REF!</definedName>
    <definedName name="FORM7618" localSheetId="11">#REF!</definedName>
    <definedName name="FORM7619" localSheetId="11">#REF!</definedName>
    <definedName name="FORM768" localSheetId="11">#REF!</definedName>
    <definedName name="FORM769" localSheetId="11">#REF!</definedName>
    <definedName name="FORM76X" localSheetId="11">#REF!</definedName>
    <definedName name="FORM771a" localSheetId="11">#REF!</definedName>
    <definedName name="FORM771b" localSheetId="11">#REF!</definedName>
    <definedName name="FORM771c" localSheetId="11">#REF!</definedName>
    <definedName name="FORM771d" localSheetId="11">#REF!</definedName>
    <definedName name="FORM772a" localSheetId="11">#REF!</definedName>
    <definedName name="FORM772b" localSheetId="11">#REF!</definedName>
    <definedName name="FORM772c" localSheetId="11">#REF!</definedName>
    <definedName name="FORM772d" localSheetId="11">#REF!</definedName>
    <definedName name="FORM79manual" localSheetId="11">#REF!</definedName>
    <definedName name="FORM79mekanis" localSheetId="11">#REF!</definedName>
    <definedName name="FORM811" localSheetId="11">#REF!</definedName>
    <definedName name="FORM812" localSheetId="11">#REF!</definedName>
    <definedName name="FORM813" localSheetId="11">#REF!</definedName>
    <definedName name="FORM814" localSheetId="11">#REF!</definedName>
    <definedName name="FORM815" localSheetId="11">#REF!</definedName>
    <definedName name="FORM817" localSheetId="11">#REF!</definedName>
    <definedName name="FORM818" localSheetId="11">#REF!</definedName>
    <definedName name="FORM819" localSheetId="11">#REF!</definedName>
    <definedName name="FORM82" localSheetId="11">#REF!</definedName>
    <definedName name="FORM841" localSheetId="11">#REF!</definedName>
    <definedName name="FORM8410" localSheetId="11">#REF!</definedName>
    <definedName name="FORM842" localSheetId="11">#REF!</definedName>
    <definedName name="FORM844" localSheetId="11">#REF!</definedName>
    <definedName name="FORM845" localSheetId="11">#REF!</definedName>
    <definedName name="FORM846" localSheetId="11">#REF!</definedName>
    <definedName name="FORM847" localSheetId="11">#REF!</definedName>
    <definedName name="FORMGEOTEKSTIL" localSheetId="11">#REF!</definedName>
    <definedName name="FRRDS" localSheetId="11">#REF!</definedName>
    <definedName name="FULVIMIXER" localSheetId="11">#REF!</definedName>
    <definedName name="G.14" localSheetId="11">#REF!</definedName>
    <definedName name="G.16" localSheetId="11">#REF!</definedName>
    <definedName name="G.2" localSheetId="11">#REF!</definedName>
    <definedName name="G.32H" localSheetId="11">#REF!</definedName>
    <definedName name="G.32K" localSheetId="11">#REF!</definedName>
    <definedName name="G.32L" localSheetId="11">#REF!</definedName>
    <definedName name="G.33F" localSheetId="11">#REF!</definedName>
    <definedName name="G.33H" localSheetId="11">#REF!</definedName>
    <definedName name="G.33I" localSheetId="11">#REF!</definedName>
    <definedName name="G.33L" localSheetId="11">#REF!</definedName>
    <definedName name="G.44" localSheetId="11">#REF!</definedName>
    <definedName name="G.50H" localSheetId="11">#REF!</definedName>
    <definedName name="G.50I" localSheetId="11">#REF!</definedName>
    <definedName name="G.50J" localSheetId="11">#REF!</definedName>
    <definedName name="G.50K" localSheetId="11">#REF!</definedName>
    <definedName name="G.50O" localSheetId="11">#REF!</definedName>
    <definedName name="G.50P" localSheetId="11">#REF!</definedName>
    <definedName name="G.51C" localSheetId="11">#REF!</definedName>
    <definedName name="G.51D" localSheetId="11">#REF!</definedName>
    <definedName name="G.53" localSheetId="11">#REF!</definedName>
    <definedName name="G.53A" localSheetId="11">#REF!</definedName>
    <definedName name="G.55B" localSheetId="11">#REF!</definedName>
    <definedName name="G.55C" localSheetId="11">#REF!</definedName>
    <definedName name="G.5A" localSheetId="11">#REF!</definedName>
    <definedName name="G.5B" localSheetId="11">#REF!</definedName>
    <definedName name="G.5C" localSheetId="11">#REF!</definedName>
    <definedName name="G.6" localSheetId="11">#REF!</definedName>
    <definedName name="G.67" localSheetId="11">#REF!</definedName>
    <definedName name="G.72_20X20" localSheetId="11">#REF!</definedName>
    <definedName name="G.72_30X30" localSheetId="11">#REF!</definedName>
    <definedName name="G.72_M_30X30" localSheetId="11">#REF!</definedName>
    <definedName name="G_1" localSheetId="11">#REF!</definedName>
    <definedName name="G_50m" localSheetId="11">#REF!</definedName>
    <definedName name="G_53A" localSheetId="11">#REF!</definedName>
    <definedName name="G_72b" localSheetId="11">#REF!</definedName>
    <definedName name="GENSET" localSheetId="11">#REF!</definedName>
    <definedName name="GRADER" localSheetId="11">#REF!</definedName>
    <definedName name="H.10_ASBES" localSheetId="11">#REF!</definedName>
    <definedName name="H.10_SENG" localSheetId="11">#REF!</definedName>
    <definedName name="H.14_KARET" localSheetId="11">#REF!</definedName>
    <definedName name="H.14_SENG_PLAT" localSheetId="11">#REF!</definedName>
    <definedName name="H.17_KARET" localSheetId="11">#REF!</definedName>
    <definedName name="H.17_SENG_PLAT" localSheetId="11">#REF!</definedName>
    <definedName name="H.2" localSheetId="11">#REF!</definedName>
    <definedName name="H.6" localSheetId="11">#REF!</definedName>
    <definedName name="H.8_AS_GEL" localSheetId="11">#REF!</definedName>
    <definedName name="H.8_AS_GEN" localSheetId="11">#REF!</definedName>
    <definedName name="H.8_SENG" localSheetId="11">#REF!</definedName>
    <definedName name="HARGA" localSheetId="11">#REF!</definedName>
    <definedName name="hargasatuan" localSheetId="11">#REF!</definedName>
    <definedName name="hlll" localSheetId="11" hidden="1">#REF!</definedName>
    <definedName name="hrg_dsr" localSheetId="11">#REF!</definedName>
    <definedName name="INSTALASI_LISTRIK" localSheetId="11">#REF!</definedName>
    <definedName name="JACKHAMMER" localSheetId="11">#REF!</definedName>
    <definedName name="JAM" localSheetId="11">#REF!</definedName>
    <definedName name="JAMER" localSheetId="11">#REF!</definedName>
    <definedName name="jml" localSheetId="11">#REF!</definedName>
    <definedName name="K" localSheetId="11">#REF!</definedName>
    <definedName name="K.30" localSheetId="11">#REF!</definedName>
    <definedName name="K.7_23_CAT" localSheetId="11">#REF!</definedName>
    <definedName name="K.7_23_KAPUR" localSheetId="11">#REF!</definedName>
    <definedName name="K.8_23_ASGEN" localSheetId="11">#REF!</definedName>
    <definedName name="K.8_23_SENG" localSheetId="11">#REF!</definedName>
    <definedName name="K.9_23" localSheetId="11">#REF!</definedName>
    <definedName name="K.9_23B" localSheetId="11">#REF!</definedName>
    <definedName name="K_010" localSheetId="11">#REF!</definedName>
    <definedName name="K_011" localSheetId="11">#REF!</definedName>
    <definedName name="K_011_peng.kr.gal.t.saring.b_hal.2" localSheetId="11">#REF!</definedName>
    <definedName name="K_012" localSheetId="11">#REF!</definedName>
    <definedName name="K_012_peng.kr.sung.t.saring.a_hal.3" localSheetId="11">#REF!</definedName>
    <definedName name="K_013_peng.kr.sung.t.saring.b_hal.4" localSheetId="11">#REF!</definedName>
    <definedName name="K_014" localSheetId="11">#REF!</definedName>
    <definedName name="K_016" localSheetId="11">#REF!</definedName>
    <definedName name="K_016_peng.kr.sung.saring.a_hal.6" localSheetId="11">#REF!</definedName>
    <definedName name="K_017" localSheetId="11">#REF!</definedName>
    <definedName name="K_017_produk.bt.sung.pch.saring.a_hal.7" localSheetId="11">#REF!</definedName>
    <definedName name="K_023_produk.suplai_lasbutag.b_hal.47" localSheetId="11">#REF!</definedName>
    <definedName name="K_026" localSheetId="11">#REF!</definedName>
    <definedName name="K_035" localSheetId="11">#REF!</definedName>
    <definedName name="K_040" localSheetId="11">#REF!</definedName>
    <definedName name="K_110" localSheetId="11">#REF!</definedName>
    <definedName name="K_115" localSheetId="11">#REF!</definedName>
    <definedName name="K_116" localSheetId="11">#REF!</definedName>
    <definedName name="K_210" localSheetId="11">#REF!</definedName>
    <definedName name="K_224" localSheetId="11">#REF!</definedName>
    <definedName name="K_225" localSheetId="11">#REF!</definedName>
    <definedName name="K_310" localSheetId="11">#REF!</definedName>
    <definedName name="K_311" localSheetId="11">#REF!</definedName>
    <definedName name="K_321" localSheetId="11">#REF!</definedName>
    <definedName name="K_410" localSheetId="11">#REF!</definedName>
    <definedName name="K_421" localSheetId="11">#REF!</definedName>
    <definedName name="K_422" localSheetId="11">#REF!</definedName>
    <definedName name="K_424" localSheetId="11">#REF!</definedName>
    <definedName name="K_514" localSheetId="11">#REF!</definedName>
    <definedName name="K_516" localSheetId="11">#REF!</definedName>
    <definedName name="K_523" localSheetId="11">#REF!</definedName>
    <definedName name="K_528" localSheetId="11">#REF!</definedName>
    <definedName name="K_612" localSheetId="11">#REF!</definedName>
    <definedName name="K_614" localSheetId="11">#REF!</definedName>
    <definedName name="K_617" localSheetId="11">#REF!</definedName>
    <definedName name="K_618" localSheetId="11">#REF!</definedName>
    <definedName name="K_631" localSheetId="11">#REF!</definedName>
    <definedName name="K_636" localSheetId="11">#REF!</definedName>
    <definedName name="K_705" localSheetId="11">#REF!</definedName>
    <definedName name="K_710" localSheetId="11">#REF!</definedName>
    <definedName name="K_715" localSheetId="11">#REF!</definedName>
    <definedName name="K_720" localSheetId="11">#REF!</definedName>
    <definedName name="K_721" localSheetId="11">#REF!</definedName>
    <definedName name="K_722" localSheetId="11">#REF!</definedName>
    <definedName name="K_722_beton.strukt.K225.alat.mix.125ltr_hal.11" localSheetId="11">#REF!</definedName>
    <definedName name="K_850" localSheetId="11">#REF!</definedName>
    <definedName name="K_855" localSheetId="11">#REF!</definedName>
    <definedName name="K_860" localSheetId="11">#REF!</definedName>
    <definedName name="K_865" localSheetId="11">#REF!</definedName>
    <definedName name="K_870" localSheetId="11">#REF!</definedName>
    <definedName name="K_875" localSheetId="11">#REF!</definedName>
    <definedName name="K_877" localSheetId="11">#REF!</definedName>
    <definedName name="K_880" localSheetId="11">#REF!</definedName>
    <definedName name="K_885" localSheetId="11">#REF!</definedName>
    <definedName name="KKKK" localSheetId="11" hidden="1">#REF!</definedName>
    <definedName name="kode.alat" localSheetId="11">#REF!</definedName>
    <definedName name="KUANTITAS" localSheetId="11">#REF!</definedName>
    <definedName name="KUDA" localSheetId="11">#REF!</definedName>
    <definedName name="KUDA_ATAP" localSheetId="11">#REF!</definedName>
    <definedName name="KUSEN" localSheetId="11">#REF!</definedName>
    <definedName name="KUSEN_JENDELA" localSheetId="11">#REF!</definedName>
    <definedName name="L_061" localSheetId="11">#REF!</definedName>
    <definedName name="L_073" localSheetId="11">#REF!</definedName>
    <definedName name="L_079" localSheetId="11">#REF!</definedName>
    <definedName name="L_081" localSheetId="11">#REF!</definedName>
    <definedName name="L_082" localSheetId="11">#REF!</definedName>
    <definedName name="L_083" localSheetId="11">#REF!</definedName>
    <definedName name="L_091" localSheetId="11">#REF!</definedName>
    <definedName name="L_099" localSheetId="11">#REF!</definedName>
    <definedName name="L_101" localSheetId="11">#REF!</definedName>
    <definedName name="L_106" localSheetId="11">#REF!</definedName>
    <definedName name="LANTAI_PLAFOND" localSheetId="11">#REF!</definedName>
    <definedName name="link" localSheetId="11">#REF!</definedName>
    <definedName name="M_010" localSheetId="11">#REF!</definedName>
    <definedName name="M_020" localSheetId="11">#REF!</definedName>
    <definedName name="M_021" localSheetId="11">#REF!</definedName>
    <definedName name="M_023" localSheetId="11">#REF!</definedName>
    <definedName name="M_024" localSheetId="11">#REF!</definedName>
    <definedName name="M_025" localSheetId="11">#REF!</definedName>
    <definedName name="M_040" localSheetId="11">#REF!</definedName>
    <definedName name="M_041" localSheetId="11">#REF!</definedName>
    <definedName name="M_050" localSheetId="11">#REF!</definedName>
    <definedName name="M_061" localSheetId="11">#REF!</definedName>
    <definedName name="M_062" localSheetId="11">#REF!</definedName>
    <definedName name="M_063" localSheetId="11">#REF!</definedName>
    <definedName name="M_065" localSheetId="11">#REF!</definedName>
    <definedName name="M_080" localSheetId="11">#REF!</definedName>
    <definedName name="M_081" localSheetId="11">#REF!</definedName>
    <definedName name="M_165" localSheetId="11">#REF!</definedName>
    <definedName name="M_166" localSheetId="11">#REF!</definedName>
    <definedName name="M_167" localSheetId="11">#REF!</definedName>
    <definedName name="M_170" localSheetId="11">#REF!</definedName>
    <definedName name="M_180" localSheetId="11">#REF!</definedName>
    <definedName name="MATERIALKU" localSheetId="11">#REF!</definedName>
    <definedName name="MK_012" localSheetId="11">#REF!</definedName>
    <definedName name="MK_014" localSheetId="11">#REF!</definedName>
    <definedName name="MK_017" localSheetId="11">#REF!</definedName>
    <definedName name="MK_023" localSheetId="11">#REF!</definedName>
    <definedName name="MK_522" localSheetId="11">#REF!</definedName>
    <definedName name="MMM" localSheetId="11" hidden="1">#REF!</definedName>
    <definedName name="MOBILISASI" localSheetId="11">#REF!</definedName>
    <definedName name="MR_11" localSheetId="11">#REF!</definedName>
    <definedName name="MR_12" localSheetId="11">#REF!</definedName>
    <definedName name="MR_42" localSheetId="11">#REF!</definedName>
    <definedName name="nanna79" localSheetId="11">#REF!</definedName>
    <definedName name="oda" localSheetId="11" hidden="1">#REF!</definedName>
    <definedName name="p" localSheetId="11">#REF!</definedName>
    <definedName name="P_GIP_1" localSheetId="11">#REF!</definedName>
    <definedName name="P_GIP_1_5" localSheetId="11">#REF!</definedName>
    <definedName name="P_GIP_2" localSheetId="11">#REF!</definedName>
    <definedName name="P_GIP_3" localSheetId="11">#REF!</definedName>
    <definedName name="P_GIP_4" localSheetId="11">#REF!</definedName>
    <definedName name="P_PVC_1" localSheetId="11">#REF!</definedName>
    <definedName name="P_PVC_1_5" localSheetId="11">#REF!</definedName>
    <definedName name="P_PVC_2" localSheetId="11">#REF!</definedName>
    <definedName name="P_PVC_3" localSheetId="11">#REF!</definedName>
    <definedName name="P_PVC_4" localSheetId="11">#REF!</definedName>
    <definedName name="PAPAN" localSheetId="11">#REF!</definedName>
    <definedName name="PEDESTRIANROLLER" localSheetId="11">#REF!</definedName>
    <definedName name="pek" localSheetId="11">#REF!</definedName>
    <definedName name="PENGECATAN" localSheetId="11">#REF!</definedName>
    <definedName name="PERSIAPAN" localSheetId="11">#REF!</definedName>
    <definedName name="PINTU" localSheetId="11">#REF!</definedName>
    <definedName name="PLAFOND" localSheetId="11">#REF!</definedName>
    <definedName name="PLAT_LANTAI" localSheetId="11">#REF!</definedName>
    <definedName name="PLESTERAN" localSheetId="11">#REF!</definedName>
    <definedName name="PONDASI" localSheetId="11">#REF!</definedName>
    <definedName name="PTJW" localSheetId="11">#REF!</definedName>
    <definedName name="qq" localSheetId="11">#REF!</definedName>
    <definedName name="RANGKA_PLAFOND" localSheetId="11">#REF!</definedName>
    <definedName name="RINCIANSEWA" localSheetId="11">#REF!</definedName>
    <definedName name="RINCIANSEWA2" localSheetId="11">#REF!</definedName>
    <definedName name="SALURAN_RABAT" localSheetId="11">#REF!</definedName>
    <definedName name="SANITASI" localSheetId="11">#REF!</definedName>
    <definedName name="SISA" localSheetId="11">#REF!</definedName>
    <definedName name="SPL.III_BDK_20" localSheetId="11">#REF!</definedName>
    <definedName name="SPL.III_BDK_30" localSheetId="11">#REF!</definedName>
    <definedName name="SPL.III_PC" localSheetId="11">#REF!</definedName>
    <definedName name="SPL.IV_10X20" localSheetId="11">#REF!</definedName>
    <definedName name="SPL.IV_PORSEL" localSheetId="11">#REF!</definedName>
    <definedName name="SPL.V" localSheetId="11">#REF!</definedName>
    <definedName name="SPL.VIA" localSheetId="11">#REF!</definedName>
    <definedName name="SPL.VII_I" localSheetId="11">#REF!</definedName>
    <definedName name="SPL.VII_II" localSheetId="11">#REF!</definedName>
    <definedName name="SPL.VIII_ETER" localSheetId="11">#REF!</definedName>
    <definedName name="SPL.VIII_GAM" localSheetId="11">#REF!</definedName>
    <definedName name="SPL.VIII_TEAK" localSheetId="11">#REF!</definedName>
    <definedName name="SPL.VIII_TRIP" localSheetId="11">#REF!</definedName>
    <definedName name="SPL.X" localSheetId="11">#REF!</definedName>
    <definedName name="SPRAYER" localSheetId="11">#REF!</definedName>
    <definedName name="ss" localSheetId="11" hidden="1">#REF!</definedName>
    <definedName name="ssss" localSheetId="11">#REF!</definedName>
    <definedName name="STONECRUSHER" localSheetId="11">#REF!</definedName>
    <definedName name="T_1" localSheetId="11">#REF!</definedName>
    <definedName name="T_2" localSheetId="11">#REF!</definedName>
    <definedName name="Tabel" localSheetId="11">#REF!</definedName>
    <definedName name="Tabel_1" localSheetId="11">#REF!</definedName>
    <definedName name="tabel1" localSheetId="11">#REF!</definedName>
    <definedName name="TAMPER" localSheetId="11">#REF!</definedName>
    <definedName name="TANAH" localSheetId="11">#REF!</definedName>
    <definedName name="TANDEMROLLER" localSheetId="11">#REF!</definedName>
    <definedName name="TAS" localSheetId="11">#REF!</definedName>
    <definedName name="TEGEL" localSheetId="11">#REF!</definedName>
    <definedName name="THREEWHEELROLLER" localSheetId="11">#REF!</definedName>
    <definedName name="TIREROLLER" localSheetId="11">#REF!</definedName>
    <definedName name="tot" localSheetId="11">#REF!</definedName>
    <definedName name="TOTAL" localSheetId="11">#REF!</definedName>
    <definedName name="TRACKLOADER" localSheetId="11">#REF!</definedName>
    <definedName name="URAIAN323L" localSheetId="11">#REF!</definedName>
    <definedName name="URAIAN611" localSheetId="11">#REF!</definedName>
    <definedName name="URAIAN612" localSheetId="11">#REF!</definedName>
    <definedName name="URAIAN621" localSheetId="11">#REF!</definedName>
    <definedName name="URAIAN622" localSheetId="11">#REF!</definedName>
    <definedName name="URAIAN623" localSheetId="11">#REF!</definedName>
    <definedName name="URAIAN631" localSheetId="11">#REF!</definedName>
    <definedName name="URAIAN632" localSheetId="11">#REF!</definedName>
    <definedName name="URAIAN633" localSheetId="11">#REF!</definedName>
    <definedName name="URAIAN634" localSheetId="11">#REF!</definedName>
    <definedName name="URAIAN635" localSheetId="11">#REF!</definedName>
    <definedName name="URAIAN635A" localSheetId="11">#REF!</definedName>
    <definedName name="URAIAN636" localSheetId="11">#REF!</definedName>
    <definedName name="URAIAN641L" localSheetId="11">#REF!</definedName>
    <definedName name="URAIAN642" localSheetId="11">#REF!</definedName>
    <definedName name="URAIAN65" localSheetId="11">#REF!</definedName>
    <definedName name="URAIAN66PERATA" localSheetId="11">#REF!</definedName>
    <definedName name="URAIAN66PERMUKAAN" localSheetId="11">#REF!</definedName>
    <definedName name="URAIAN7101" localSheetId="11">#REF!</definedName>
    <definedName name="URAIAN7102" localSheetId="11">#REF!</definedName>
    <definedName name="URAIAN7103" localSheetId="11">#REF!</definedName>
    <definedName name="URAIAN711" localSheetId="11">#REF!</definedName>
    <definedName name="URAIAN712" localSheetId="11">#REF!</definedName>
    <definedName name="URAIAN713" localSheetId="11">#REF!</definedName>
    <definedName name="URAIAN714" localSheetId="11">#REF!</definedName>
    <definedName name="URAIAN715" localSheetId="11">#REF!</definedName>
    <definedName name="URAIAN716" localSheetId="11">#REF!</definedName>
    <definedName name="URAIAN717" localSheetId="11">#REF!</definedName>
    <definedName name="URAIAN718" localSheetId="11">#REF!</definedName>
    <definedName name="URAIAN721" localSheetId="11">#REF!</definedName>
    <definedName name="URAIAN731" localSheetId="11">#REF!</definedName>
    <definedName name="URAIAN732" localSheetId="11">#REF!</definedName>
    <definedName name="URAIAN733" localSheetId="11">#REF!</definedName>
    <definedName name="URAIAN734" localSheetId="11">#REF!</definedName>
    <definedName name="URAIAN735" localSheetId="11">#REF!</definedName>
    <definedName name="URAIAN744" localSheetId="11">#REF!</definedName>
    <definedName name="URAIAN745" localSheetId="11">#REF!</definedName>
    <definedName name="URAIAN7610" localSheetId="11">#REF!</definedName>
    <definedName name="URAIAN7612a" localSheetId="11">#REF!</definedName>
    <definedName name="URAIAN7612b" localSheetId="11">#REF!</definedName>
    <definedName name="URAIAN7612c" localSheetId="11">#REF!</definedName>
    <definedName name="URAIAN7613a" localSheetId="11">#REF!</definedName>
    <definedName name="URAIAN7613b" localSheetId="11">#REF!</definedName>
    <definedName name="URAIAN7613c" localSheetId="11">#REF!</definedName>
    <definedName name="URAIAN7614a" localSheetId="11">#REF!</definedName>
    <definedName name="URAIAN7614b" localSheetId="11">#REF!</definedName>
    <definedName name="URAIAN7614d" localSheetId="11">#REF!</definedName>
    <definedName name="URAIAN7614e" localSheetId="11">#REF!</definedName>
    <definedName name="URAIAN7618" localSheetId="11">#REF!</definedName>
    <definedName name="URAIAN7619" localSheetId="11">#REF!</definedName>
    <definedName name="URAIAN768" localSheetId="11">#REF!</definedName>
    <definedName name="URAIAN769" localSheetId="11">#REF!</definedName>
    <definedName name="URAIAN76x" localSheetId="11">#REF!</definedName>
    <definedName name="URAIAN771a" localSheetId="11">#REF!</definedName>
    <definedName name="URAIAN771b" localSheetId="11">#REF!</definedName>
    <definedName name="URAIAN771c" localSheetId="11">#REF!</definedName>
    <definedName name="URAIAN771d" localSheetId="11">#REF!</definedName>
    <definedName name="URAIAN772a" localSheetId="11">#REF!</definedName>
    <definedName name="URAIAN772b" localSheetId="11">#REF!</definedName>
    <definedName name="URAIAN772c" localSheetId="11">#REF!</definedName>
    <definedName name="URAIAN772d" localSheetId="11">#REF!</definedName>
    <definedName name="URAIAN79manual" localSheetId="11">#REF!</definedName>
    <definedName name="URAIAN79mekanis" localSheetId="11">#REF!</definedName>
    <definedName name="URAIAN811" localSheetId="11">#REF!</definedName>
    <definedName name="URAIAN812" localSheetId="11">#REF!</definedName>
    <definedName name="URAIAN813" localSheetId="11">#REF!</definedName>
    <definedName name="URAIAN814" localSheetId="11">#REF!</definedName>
    <definedName name="URAIAN815" localSheetId="11">#REF!</definedName>
    <definedName name="URAIAN817" localSheetId="11">#REF!</definedName>
    <definedName name="URAIAN818" localSheetId="11">#REF!</definedName>
    <definedName name="URAIAN819" localSheetId="11">#REF!</definedName>
    <definedName name="URAIAN82" localSheetId="11">#REF!</definedName>
    <definedName name="Uraian841" localSheetId="11">#REF!</definedName>
    <definedName name="Uraian8410" localSheetId="11">#REF!</definedName>
    <definedName name="Uraian842" localSheetId="11">#REF!</definedName>
    <definedName name="Uraian844" localSheetId="11">#REF!</definedName>
    <definedName name="Uraian845" localSheetId="11">#REF!</definedName>
    <definedName name="Uraian846" localSheetId="11">#REF!</definedName>
    <definedName name="Uraian847" localSheetId="11">#REF!</definedName>
    <definedName name="URAIANGEOTEKSTIL" localSheetId="11">#REF!</definedName>
    <definedName name="UTAIAN7614c" localSheetId="11">#REF!</definedName>
    <definedName name="VIBROROLLER" localSheetId="11">#REF!</definedName>
    <definedName name="voeg" localSheetId="11">#REF!</definedName>
    <definedName name="WATERPUMP" localSheetId="11">#REF!</definedName>
    <definedName name="WATERTANKER" localSheetId="11">#REF!</definedName>
    <definedName name="WHEELLOADER" localSheetId="11">#REF!</definedName>
    <definedName name="Z" localSheetId="11">#REF!</definedName>
    <definedName name="\X" localSheetId="12">#REF!</definedName>
    <definedName name="____________LLL01" localSheetId="12">#REF!</definedName>
    <definedName name="____________LLL02" localSheetId="12">#REF!</definedName>
    <definedName name="____________LLL03" localSheetId="12">#REF!</definedName>
    <definedName name="____________LLL04" localSheetId="12">#REF!</definedName>
    <definedName name="____________LLL05" localSheetId="12">#REF!</definedName>
    <definedName name="____________LLL06" localSheetId="12">#REF!</definedName>
    <definedName name="____________LLL07" localSheetId="12">#REF!</definedName>
    <definedName name="____________LLL08" localSheetId="12">#REF!</definedName>
    <definedName name="____________LLL09" localSheetId="12">#REF!</definedName>
    <definedName name="____________LLL10" localSheetId="12">#REF!</definedName>
    <definedName name="____________LLL11" localSheetId="12">#REF!</definedName>
    <definedName name="____________MMM01" localSheetId="12">#REF!</definedName>
    <definedName name="____________MMM02" localSheetId="12">#REF!</definedName>
    <definedName name="____________MMM03" localSheetId="12">#REF!</definedName>
    <definedName name="____________MMM04" localSheetId="12">#REF!</definedName>
    <definedName name="____________MMM05" localSheetId="12">#REF!</definedName>
    <definedName name="____________MMM06" localSheetId="12">#REF!</definedName>
    <definedName name="____________MMM07" localSheetId="12">#REF!</definedName>
    <definedName name="____________MMM08" localSheetId="12">#REF!</definedName>
    <definedName name="____________MMM09" localSheetId="12">#REF!</definedName>
    <definedName name="____________MMM10" localSheetId="12">#REF!</definedName>
    <definedName name="____________MMM11" localSheetId="12">#REF!</definedName>
    <definedName name="____________MMM12" localSheetId="12">#REF!</definedName>
    <definedName name="____________MMM13" localSheetId="12">#REF!</definedName>
    <definedName name="____________MMM14" localSheetId="12">#REF!</definedName>
    <definedName name="____________MMM15" localSheetId="12">#REF!</definedName>
    <definedName name="____________MMM16" localSheetId="12">#REF!</definedName>
    <definedName name="____________MMM17" localSheetId="12">#REF!</definedName>
    <definedName name="____________MMM18" localSheetId="12">#REF!</definedName>
    <definedName name="____________MMM19" localSheetId="12">#REF!</definedName>
    <definedName name="____________MMM20" localSheetId="12">#REF!</definedName>
    <definedName name="____________MMM21" localSheetId="12">#REF!</definedName>
    <definedName name="____________MMM22" localSheetId="12">#REF!</definedName>
    <definedName name="____________MMM23" localSheetId="12">#REF!</definedName>
    <definedName name="____________MMM24" localSheetId="12">#REF!</definedName>
    <definedName name="____________MMM25" localSheetId="12">#REF!</definedName>
    <definedName name="____________MMM26" localSheetId="12">#REF!</definedName>
    <definedName name="____________MMM27" localSheetId="12">#REF!</definedName>
    <definedName name="____________MMM28" localSheetId="12">#REF!</definedName>
    <definedName name="____________MMM29" localSheetId="12">#REF!</definedName>
    <definedName name="____________MMM30" localSheetId="12">#REF!</definedName>
    <definedName name="____________MMM31" localSheetId="12">#REF!</definedName>
    <definedName name="____________MMM32" localSheetId="12">#REF!</definedName>
    <definedName name="____________MMM33" localSheetId="12">#REF!</definedName>
    <definedName name="____________MMM34" localSheetId="12">#REF!</definedName>
    <definedName name="____________MMM35" localSheetId="12">#REF!</definedName>
    <definedName name="____________MMM36" localSheetId="12">#REF!</definedName>
    <definedName name="____________MMM37" localSheetId="12">#REF!</definedName>
    <definedName name="____________MMM38" localSheetId="12">#REF!</definedName>
    <definedName name="____________MMM39" localSheetId="12">#REF!</definedName>
    <definedName name="____________MMM40" localSheetId="12">#REF!</definedName>
    <definedName name="____________MMM41" localSheetId="12">#REF!</definedName>
    <definedName name="____________MMM411" localSheetId="12">#REF!</definedName>
    <definedName name="____________MMM42" localSheetId="12">#REF!</definedName>
    <definedName name="____________MMM43" localSheetId="12">#REF!</definedName>
    <definedName name="____________MMM44" localSheetId="12">#REF!</definedName>
    <definedName name="____________MMM45" localSheetId="12">#REF!</definedName>
    <definedName name="____________MMM46" localSheetId="12">#REF!</definedName>
    <definedName name="____________MMM47" localSheetId="12">#REF!</definedName>
    <definedName name="____________MMM48" localSheetId="12">#REF!</definedName>
    <definedName name="____________MMM49" localSheetId="12">#REF!</definedName>
    <definedName name="____________MMM50" localSheetId="12">#REF!</definedName>
    <definedName name="____________MMM51" localSheetId="12">#REF!</definedName>
    <definedName name="____________MMM52" localSheetId="12">#REF!</definedName>
    <definedName name="____________MMM53" localSheetId="12">#REF!</definedName>
    <definedName name="____________MMM54" localSheetId="12">#REF!</definedName>
    <definedName name="___________LLL01" localSheetId="12">#REF!</definedName>
    <definedName name="___________LLL02" localSheetId="12">#REF!</definedName>
    <definedName name="___________LLL03" localSheetId="12">#REF!</definedName>
    <definedName name="___________LLL04" localSheetId="12">#REF!</definedName>
    <definedName name="___________LLL05" localSheetId="12">#REF!</definedName>
    <definedName name="___________LLL06" localSheetId="12">#REF!</definedName>
    <definedName name="___________LLL07" localSheetId="12">#REF!</definedName>
    <definedName name="___________LLL08" localSheetId="12">#REF!</definedName>
    <definedName name="___________LLL09" localSheetId="12">#REF!</definedName>
    <definedName name="___________LLL10" localSheetId="12">#REF!</definedName>
    <definedName name="___________LLL11" localSheetId="12">#REF!</definedName>
    <definedName name="___________MMM01" localSheetId="12">#REF!</definedName>
    <definedName name="___________MMM02" localSheetId="12">#REF!</definedName>
    <definedName name="___________MMM03" localSheetId="12">#REF!</definedName>
    <definedName name="___________MMM04" localSheetId="12">#REF!</definedName>
    <definedName name="___________MMM05" localSheetId="12">#REF!</definedName>
    <definedName name="___________MMM06" localSheetId="12">#REF!</definedName>
    <definedName name="___________MMM07" localSheetId="12">#REF!</definedName>
    <definedName name="___________MMM08" localSheetId="12">#REF!</definedName>
    <definedName name="___________MMM09" localSheetId="12">#REF!</definedName>
    <definedName name="___________MMM10" localSheetId="12">#REF!</definedName>
    <definedName name="___________MMM11" localSheetId="12">#REF!</definedName>
    <definedName name="___________MMM12" localSheetId="12">#REF!</definedName>
    <definedName name="___________MMM13" localSheetId="12">#REF!</definedName>
    <definedName name="___________MMM14" localSheetId="12">#REF!</definedName>
    <definedName name="___________MMM15" localSheetId="12">#REF!</definedName>
    <definedName name="___________MMM16" localSheetId="12">#REF!</definedName>
    <definedName name="___________MMM17" localSheetId="12">#REF!</definedName>
    <definedName name="___________MMM18" localSheetId="12">#REF!</definedName>
    <definedName name="___________MMM19" localSheetId="12">#REF!</definedName>
    <definedName name="___________MMM20" localSheetId="12">#REF!</definedName>
    <definedName name="___________MMM21" localSheetId="12">#REF!</definedName>
    <definedName name="___________MMM22" localSheetId="12">#REF!</definedName>
    <definedName name="___________MMM23" localSheetId="12">#REF!</definedName>
    <definedName name="___________MMM24" localSheetId="12">#REF!</definedName>
    <definedName name="___________MMM25" localSheetId="12">#REF!</definedName>
    <definedName name="___________MMM26" localSheetId="12">#REF!</definedName>
    <definedName name="___________MMM27" localSheetId="12">#REF!</definedName>
    <definedName name="___________MMM28" localSheetId="12">#REF!</definedName>
    <definedName name="___________MMM29" localSheetId="12">#REF!</definedName>
    <definedName name="___________MMM30" localSheetId="12">#REF!</definedName>
    <definedName name="___________MMM31" localSheetId="12">#REF!</definedName>
    <definedName name="___________MMM32" localSheetId="12">#REF!</definedName>
    <definedName name="___________MMM33" localSheetId="12">#REF!</definedName>
    <definedName name="___________MMM34" localSheetId="12">#REF!</definedName>
    <definedName name="___________MMM35" localSheetId="12">#REF!</definedName>
    <definedName name="___________MMM36" localSheetId="12">#REF!</definedName>
    <definedName name="___________MMM37" localSheetId="12">#REF!</definedName>
    <definedName name="___________MMM38" localSheetId="12">#REF!</definedName>
    <definedName name="___________MMM39" localSheetId="12">#REF!</definedName>
    <definedName name="___________MMM40" localSheetId="12">#REF!</definedName>
    <definedName name="___________MMM41" localSheetId="12">#REF!</definedName>
    <definedName name="___________MMM411" localSheetId="12">#REF!</definedName>
    <definedName name="___________MMM42" localSheetId="12">#REF!</definedName>
    <definedName name="___________MMM43" localSheetId="12">#REF!</definedName>
    <definedName name="___________MMM44" localSheetId="12">#REF!</definedName>
    <definedName name="___________MMM45" localSheetId="12">#REF!</definedName>
    <definedName name="___________MMM46" localSheetId="12">#REF!</definedName>
    <definedName name="___________MMM47" localSheetId="12">#REF!</definedName>
    <definedName name="___________MMM48" localSheetId="12">#REF!</definedName>
    <definedName name="___________MMM49" localSheetId="12">#REF!</definedName>
    <definedName name="___________MMM50" localSheetId="12">#REF!</definedName>
    <definedName name="___________MMM51" localSheetId="12">#REF!</definedName>
    <definedName name="___________MMM52" localSheetId="12">#REF!</definedName>
    <definedName name="___________MMM53" localSheetId="12">#REF!</definedName>
    <definedName name="___________MMM54" localSheetId="12">#REF!</definedName>
    <definedName name="__________LLL01" localSheetId="12">#REF!</definedName>
    <definedName name="__________LLL02" localSheetId="12">#REF!</definedName>
    <definedName name="__________LLL03" localSheetId="12">#REF!</definedName>
    <definedName name="__________LLL04" localSheetId="12">#REF!</definedName>
    <definedName name="__________LLL05" localSheetId="12">#REF!</definedName>
    <definedName name="__________LLL06" localSheetId="12">#REF!</definedName>
    <definedName name="__________LLL07" localSheetId="12">#REF!</definedName>
    <definedName name="__________LLL08" localSheetId="12">#REF!</definedName>
    <definedName name="__________LLL09" localSheetId="12">#REF!</definedName>
    <definedName name="__________LLL10" localSheetId="12">#REF!</definedName>
    <definedName name="__________LLL11" localSheetId="12">#REF!</definedName>
    <definedName name="__________MMM01" localSheetId="12">#REF!</definedName>
    <definedName name="__________MMM02" localSheetId="12">#REF!</definedName>
    <definedName name="__________MMM03" localSheetId="12">#REF!</definedName>
    <definedName name="__________MMM04" localSheetId="12">#REF!</definedName>
    <definedName name="__________MMM05" localSheetId="12">#REF!</definedName>
    <definedName name="__________MMM06" localSheetId="12">#REF!</definedName>
    <definedName name="__________MMM07" localSheetId="12">#REF!</definedName>
    <definedName name="__________MMM08" localSheetId="12">#REF!</definedName>
    <definedName name="__________MMM09" localSheetId="12">#REF!</definedName>
    <definedName name="__________MMM10" localSheetId="12">#REF!</definedName>
    <definedName name="__________MMM11" localSheetId="12">#REF!</definedName>
    <definedName name="__________MMM12" localSheetId="12">#REF!</definedName>
    <definedName name="__________MMM13" localSheetId="12">#REF!</definedName>
    <definedName name="__________MMM14" localSheetId="12">#REF!</definedName>
    <definedName name="__________MMM15" localSheetId="12">#REF!</definedName>
    <definedName name="__________MMM16" localSheetId="12">#REF!</definedName>
    <definedName name="__________MMM17" localSheetId="12">#REF!</definedName>
    <definedName name="__________MMM18" localSheetId="12">#REF!</definedName>
    <definedName name="__________MMM19" localSheetId="12">#REF!</definedName>
    <definedName name="__________MMM20" localSheetId="12">#REF!</definedName>
    <definedName name="__________MMM21" localSheetId="12">#REF!</definedName>
    <definedName name="__________MMM22" localSheetId="12">#REF!</definedName>
    <definedName name="__________MMM23" localSheetId="12">#REF!</definedName>
    <definedName name="__________MMM24" localSheetId="12">#REF!</definedName>
    <definedName name="__________MMM25" localSheetId="12">#REF!</definedName>
    <definedName name="__________MMM26" localSheetId="12">#REF!</definedName>
    <definedName name="__________MMM27" localSheetId="12">#REF!</definedName>
    <definedName name="__________MMM28" localSheetId="12">#REF!</definedName>
    <definedName name="__________MMM29" localSheetId="12">#REF!</definedName>
    <definedName name="__________MMM30" localSheetId="12">#REF!</definedName>
    <definedName name="__________MMM31" localSheetId="12">#REF!</definedName>
    <definedName name="__________MMM32" localSheetId="12">#REF!</definedName>
    <definedName name="__________MMM33" localSheetId="12">#REF!</definedName>
    <definedName name="__________MMM34" localSheetId="12">#REF!</definedName>
    <definedName name="__________MMM35" localSheetId="12">#REF!</definedName>
    <definedName name="__________MMM36" localSheetId="12">#REF!</definedName>
    <definedName name="__________MMM37" localSheetId="12">#REF!</definedName>
    <definedName name="__________MMM38" localSheetId="12">#REF!</definedName>
    <definedName name="__________MMM39" localSheetId="12">#REF!</definedName>
    <definedName name="__________MMM40" localSheetId="12">#REF!</definedName>
    <definedName name="__________MMM41" localSheetId="12">#REF!</definedName>
    <definedName name="__________MMM411" localSheetId="12">#REF!</definedName>
    <definedName name="__________MMM42" localSheetId="12">#REF!</definedName>
    <definedName name="__________MMM43" localSheetId="12">#REF!</definedName>
    <definedName name="__________MMM44" localSheetId="12">#REF!</definedName>
    <definedName name="__________MMM45" localSheetId="12">#REF!</definedName>
    <definedName name="__________MMM46" localSheetId="12">#REF!</definedName>
    <definedName name="__________MMM47" localSheetId="12">#REF!</definedName>
    <definedName name="__________MMM48" localSheetId="12">#REF!</definedName>
    <definedName name="__________MMM49" localSheetId="12">#REF!</definedName>
    <definedName name="__________MMM50" localSheetId="12">#REF!</definedName>
    <definedName name="__________MMM51" localSheetId="12">#REF!</definedName>
    <definedName name="__________MMM52" localSheetId="12">#REF!</definedName>
    <definedName name="__________MMM53" localSheetId="12">#REF!</definedName>
    <definedName name="__________MMM54" localSheetId="12">#REF!</definedName>
    <definedName name="_________LLL01" localSheetId="12">#REF!</definedName>
    <definedName name="_________LLL02" localSheetId="12">#REF!</definedName>
    <definedName name="_________LLL03" localSheetId="12">#REF!</definedName>
    <definedName name="_________LLL04" localSheetId="12">#REF!</definedName>
    <definedName name="_________LLL05" localSheetId="12">#REF!</definedName>
    <definedName name="_________LLL06" localSheetId="12">#REF!</definedName>
    <definedName name="_________LLL07" localSheetId="12">#REF!</definedName>
    <definedName name="_________LLL08" localSheetId="12">#REF!</definedName>
    <definedName name="_________LLL09" localSheetId="12">#REF!</definedName>
    <definedName name="_________LLL10" localSheetId="12">#REF!</definedName>
    <definedName name="_________LLL11" localSheetId="12">#REF!</definedName>
    <definedName name="_________MMM01" localSheetId="12">#REF!</definedName>
    <definedName name="_________MMM02" localSheetId="12">#REF!</definedName>
    <definedName name="_________MMM03" localSheetId="12">#REF!</definedName>
    <definedName name="_________MMM04" localSheetId="12">#REF!</definedName>
    <definedName name="_________MMM05" localSheetId="12">#REF!</definedName>
    <definedName name="_________MMM06" localSheetId="12">#REF!</definedName>
    <definedName name="_________MMM07" localSheetId="12">#REF!</definedName>
    <definedName name="_________MMM08" localSheetId="12">#REF!</definedName>
    <definedName name="_________MMM09" localSheetId="12">#REF!</definedName>
    <definedName name="_________MMM10" localSheetId="12">#REF!</definedName>
    <definedName name="_________MMM11" localSheetId="12">#REF!</definedName>
    <definedName name="_________MMM12" localSheetId="12">#REF!</definedName>
    <definedName name="_________MMM13" localSheetId="12">#REF!</definedName>
    <definedName name="_________MMM14" localSheetId="12">#REF!</definedName>
    <definedName name="_________MMM15" localSheetId="12">#REF!</definedName>
    <definedName name="_________MMM16" localSheetId="12">#REF!</definedName>
    <definedName name="_________MMM17" localSheetId="12">#REF!</definedName>
    <definedName name="_________MMM18" localSheetId="12">#REF!</definedName>
    <definedName name="_________MMM19" localSheetId="12">#REF!</definedName>
    <definedName name="_________MMM20" localSheetId="12">#REF!</definedName>
    <definedName name="_________MMM21" localSheetId="12">#REF!</definedName>
    <definedName name="_________MMM22" localSheetId="12">#REF!</definedName>
    <definedName name="_________MMM23" localSheetId="12">#REF!</definedName>
    <definedName name="_________MMM24" localSheetId="12">#REF!</definedName>
    <definedName name="_________MMM25" localSheetId="12">#REF!</definedName>
    <definedName name="_________MMM26" localSheetId="12">#REF!</definedName>
    <definedName name="_________MMM27" localSheetId="12">#REF!</definedName>
    <definedName name="_________MMM28" localSheetId="12">#REF!</definedName>
    <definedName name="_________MMM29" localSheetId="12">#REF!</definedName>
    <definedName name="_________MMM30" localSheetId="12">#REF!</definedName>
    <definedName name="_________MMM31" localSheetId="12">#REF!</definedName>
    <definedName name="_________MMM32" localSheetId="12">#REF!</definedName>
    <definedName name="_________MMM33" localSheetId="12">#REF!</definedName>
    <definedName name="_________MMM34" localSheetId="12">#REF!</definedName>
    <definedName name="_________MMM35" localSheetId="12">#REF!</definedName>
    <definedName name="_________MMM36" localSheetId="12">#REF!</definedName>
    <definedName name="_________MMM37" localSheetId="12">#REF!</definedName>
    <definedName name="_________MMM38" localSheetId="12">#REF!</definedName>
    <definedName name="_________MMM39" localSheetId="12">#REF!</definedName>
    <definedName name="_________MMM40" localSheetId="12">#REF!</definedName>
    <definedName name="_________MMM41" localSheetId="12">#REF!</definedName>
    <definedName name="_________MMM411" localSheetId="12">#REF!</definedName>
    <definedName name="_________MMM42" localSheetId="12">#REF!</definedName>
    <definedName name="_________MMM43" localSheetId="12">#REF!</definedName>
    <definedName name="_________MMM44" localSheetId="12">#REF!</definedName>
    <definedName name="_________MMM45" localSheetId="12">#REF!</definedName>
    <definedName name="_________MMM46" localSheetId="12">#REF!</definedName>
    <definedName name="_________MMM47" localSheetId="12">#REF!</definedName>
    <definedName name="_________MMM48" localSheetId="12">#REF!</definedName>
    <definedName name="_________MMM49" localSheetId="12">#REF!</definedName>
    <definedName name="_________MMM50" localSheetId="12">#REF!</definedName>
    <definedName name="_________MMM51" localSheetId="12">#REF!</definedName>
    <definedName name="_________MMM52" localSheetId="12">#REF!</definedName>
    <definedName name="_________MMM53" localSheetId="12">#REF!</definedName>
    <definedName name="_________MMM54" localSheetId="12">#REF!</definedName>
    <definedName name="________LLL01" localSheetId="12">#REF!</definedName>
    <definedName name="________LLL02" localSheetId="12">#REF!</definedName>
    <definedName name="________LLL03" localSheetId="12">#REF!</definedName>
    <definedName name="________LLL04" localSheetId="12">#REF!</definedName>
    <definedName name="________LLL05" localSheetId="12">#REF!</definedName>
    <definedName name="________LLL06" localSheetId="12">#REF!</definedName>
    <definedName name="________LLL07" localSheetId="12">#REF!</definedName>
    <definedName name="________LLL08" localSheetId="12">#REF!</definedName>
    <definedName name="________LLL09" localSheetId="12">#REF!</definedName>
    <definedName name="________LLL10" localSheetId="12">#REF!</definedName>
    <definedName name="________LLL11" localSheetId="12">#REF!</definedName>
    <definedName name="________MMM01" localSheetId="12">#REF!</definedName>
    <definedName name="________MMM02" localSheetId="12">#REF!</definedName>
    <definedName name="________MMM03" localSheetId="12">#REF!</definedName>
    <definedName name="________MMM04" localSheetId="12">#REF!</definedName>
    <definedName name="________MMM05" localSheetId="12">#REF!</definedName>
    <definedName name="________MMM06" localSheetId="12">#REF!</definedName>
    <definedName name="________MMM07" localSheetId="12">#REF!</definedName>
    <definedName name="________MMM08" localSheetId="12">#REF!</definedName>
    <definedName name="________MMM09" localSheetId="12">#REF!</definedName>
    <definedName name="________MMM10" localSheetId="12">#REF!</definedName>
    <definedName name="________MMM11" localSheetId="12">#REF!</definedName>
    <definedName name="________MMM12" localSheetId="12">#REF!</definedName>
    <definedName name="________MMM13" localSheetId="12">#REF!</definedName>
    <definedName name="________MMM14" localSheetId="12">#REF!</definedName>
    <definedName name="________MMM15" localSheetId="12">#REF!</definedName>
    <definedName name="________MMM16" localSheetId="12">#REF!</definedName>
    <definedName name="________MMM17" localSheetId="12">#REF!</definedName>
    <definedName name="________MMM18" localSheetId="12">#REF!</definedName>
    <definedName name="________MMM19" localSheetId="12">#REF!</definedName>
    <definedName name="________MMM20" localSheetId="12">#REF!</definedName>
    <definedName name="________MMM21" localSheetId="12">#REF!</definedName>
    <definedName name="________MMM22" localSheetId="12">#REF!</definedName>
    <definedName name="________MMM23" localSheetId="12">#REF!</definedName>
    <definedName name="________MMM24" localSheetId="12">#REF!</definedName>
    <definedName name="________MMM25" localSheetId="12">#REF!</definedName>
    <definedName name="________MMM26" localSheetId="12">#REF!</definedName>
    <definedName name="________MMM27" localSheetId="12">#REF!</definedName>
    <definedName name="________MMM28" localSheetId="12">#REF!</definedName>
    <definedName name="________MMM29" localSheetId="12">#REF!</definedName>
    <definedName name="________MMM30" localSheetId="12">#REF!</definedName>
    <definedName name="________MMM31" localSheetId="12">#REF!</definedName>
    <definedName name="________MMM32" localSheetId="12">#REF!</definedName>
    <definedName name="________MMM33" localSheetId="12">#REF!</definedName>
    <definedName name="________MMM34" localSheetId="12">#REF!</definedName>
    <definedName name="________MMM35" localSheetId="12">#REF!</definedName>
    <definedName name="________MMM36" localSheetId="12">#REF!</definedName>
    <definedName name="________MMM37" localSheetId="12">#REF!</definedName>
    <definedName name="________MMM38" localSheetId="12">#REF!</definedName>
    <definedName name="________MMM39" localSheetId="12">#REF!</definedName>
    <definedName name="________MMM40" localSheetId="12">#REF!</definedName>
    <definedName name="________MMM41" localSheetId="12">#REF!</definedName>
    <definedName name="________MMM411" localSheetId="12">#REF!</definedName>
    <definedName name="________MMM42" localSheetId="12">#REF!</definedName>
    <definedName name="________MMM43" localSheetId="12">#REF!</definedName>
    <definedName name="________MMM44" localSheetId="12">#REF!</definedName>
    <definedName name="________MMM45" localSheetId="12">#REF!</definedName>
    <definedName name="________MMM46" localSheetId="12">#REF!</definedName>
    <definedName name="________MMM47" localSheetId="12">#REF!</definedName>
    <definedName name="________MMM48" localSheetId="12">#REF!</definedName>
    <definedName name="________MMM49" localSheetId="12">#REF!</definedName>
    <definedName name="________MMM50" localSheetId="12">#REF!</definedName>
    <definedName name="________MMM51" localSheetId="12">#REF!</definedName>
    <definedName name="________MMM52" localSheetId="12">#REF!</definedName>
    <definedName name="________MMM53" localSheetId="12">#REF!</definedName>
    <definedName name="________MMM54" localSheetId="12">#REF!</definedName>
    <definedName name="_______LLL01" localSheetId="12">#REF!</definedName>
    <definedName name="_______LLL02" localSheetId="12">#REF!</definedName>
    <definedName name="_______LLL03" localSheetId="12">#REF!</definedName>
    <definedName name="_______LLL04" localSheetId="12">#REF!</definedName>
    <definedName name="_______LLL05" localSheetId="12">#REF!</definedName>
    <definedName name="_______LLL06" localSheetId="12">#REF!</definedName>
    <definedName name="_______LLL07" localSheetId="12">#REF!</definedName>
    <definedName name="_______LLL08" localSheetId="12">#REF!</definedName>
    <definedName name="_______LLL09" localSheetId="12">#REF!</definedName>
    <definedName name="_______LLL10" localSheetId="12">#REF!</definedName>
    <definedName name="_______LLL11" localSheetId="12">#REF!</definedName>
    <definedName name="_______MMM01" localSheetId="12">#REF!</definedName>
    <definedName name="_______MMM02" localSheetId="12">#REF!</definedName>
    <definedName name="_______MMM03" localSheetId="12">#REF!</definedName>
    <definedName name="_______MMM04" localSheetId="12">#REF!</definedName>
    <definedName name="_______MMM05" localSheetId="12">#REF!</definedName>
    <definedName name="_______MMM06" localSheetId="12">#REF!</definedName>
    <definedName name="_______MMM07" localSheetId="12">#REF!</definedName>
    <definedName name="_______MMM08" localSheetId="12">#REF!</definedName>
    <definedName name="_______MMM09" localSheetId="12">#REF!</definedName>
    <definedName name="_______MMM10" localSheetId="12">#REF!</definedName>
    <definedName name="_______MMM11" localSheetId="12">#REF!</definedName>
    <definedName name="_______MMM12" localSheetId="12">#REF!</definedName>
    <definedName name="_______MMM13" localSheetId="12">#REF!</definedName>
    <definedName name="_______MMM14" localSheetId="12">#REF!</definedName>
    <definedName name="_______MMM15" localSheetId="12">#REF!</definedName>
    <definedName name="_______MMM16" localSheetId="12">#REF!</definedName>
    <definedName name="_______MMM17" localSheetId="12">#REF!</definedName>
    <definedName name="_______MMM18" localSheetId="12">#REF!</definedName>
    <definedName name="_______MMM19" localSheetId="12">#REF!</definedName>
    <definedName name="_______MMM20" localSheetId="12">#REF!</definedName>
    <definedName name="_______MMM21" localSheetId="12">#REF!</definedName>
    <definedName name="_______MMM22" localSheetId="12">#REF!</definedName>
    <definedName name="_______MMM23" localSheetId="12">#REF!</definedName>
    <definedName name="_______MMM24" localSheetId="12">#REF!</definedName>
    <definedName name="_______MMM25" localSheetId="12">#REF!</definedName>
    <definedName name="_______MMM26" localSheetId="12">#REF!</definedName>
    <definedName name="_______MMM27" localSheetId="12">#REF!</definedName>
    <definedName name="_______MMM28" localSheetId="12">#REF!</definedName>
    <definedName name="_______MMM29" localSheetId="12">#REF!</definedName>
    <definedName name="_______MMM30" localSheetId="12">#REF!</definedName>
    <definedName name="_______MMM31" localSheetId="12">#REF!</definedName>
    <definedName name="_______MMM32" localSheetId="12">#REF!</definedName>
    <definedName name="_______MMM33" localSheetId="12">#REF!</definedName>
    <definedName name="_______MMM34" localSheetId="12">#REF!</definedName>
    <definedName name="_______MMM35" localSheetId="12">#REF!</definedName>
    <definedName name="_______MMM36" localSheetId="12">#REF!</definedName>
    <definedName name="_______MMM37" localSheetId="12">#REF!</definedName>
    <definedName name="_______MMM38" localSheetId="12">#REF!</definedName>
    <definedName name="_______MMM39" localSheetId="12">#REF!</definedName>
    <definedName name="_______MMM40" localSheetId="12">#REF!</definedName>
    <definedName name="_______MMM41" localSheetId="12">#REF!</definedName>
    <definedName name="_______MMM411" localSheetId="12">#REF!</definedName>
    <definedName name="_______MMM42" localSheetId="12">#REF!</definedName>
    <definedName name="_______MMM43" localSheetId="12">#REF!</definedName>
    <definedName name="_______MMM44" localSheetId="12">#REF!</definedName>
    <definedName name="_______MMM45" localSheetId="12">#REF!</definedName>
    <definedName name="_______MMM46" localSheetId="12">#REF!</definedName>
    <definedName name="_______MMM47" localSheetId="12">#REF!</definedName>
    <definedName name="_______MMM48" localSheetId="12">#REF!</definedName>
    <definedName name="_______MMM49" localSheetId="12">#REF!</definedName>
    <definedName name="_______MMM50" localSheetId="12">#REF!</definedName>
    <definedName name="_______MMM51" localSheetId="12">#REF!</definedName>
    <definedName name="_______MMM52" localSheetId="12">#REF!</definedName>
    <definedName name="_______MMM53" localSheetId="12">#REF!</definedName>
    <definedName name="_______MMM54" localSheetId="12">#REF!</definedName>
    <definedName name="______LLL01" localSheetId="12">#REF!</definedName>
    <definedName name="______LLL02" localSheetId="12">#REF!</definedName>
    <definedName name="______LLL03" localSheetId="12">#REF!</definedName>
    <definedName name="______LLL04" localSheetId="12">#REF!</definedName>
    <definedName name="______LLL05" localSheetId="12">#REF!</definedName>
    <definedName name="______LLL06" localSheetId="12">#REF!</definedName>
    <definedName name="______LLL07" localSheetId="12">#REF!</definedName>
    <definedName name="______LLL08" localSheetId="12">#REF!</definedName>
    <definedName name="______LLL09" localSheetId="12">#REF!</definedName>
    <definedName name="______LLL10" localSheetId="12">#REF!</definedName>
    <definedName name="______LLL11" localSheetId="12">#REF!</definedName>
    <definedName name="______MMM01" localSheetId="12">#REF!</definedName>
    <definedName name="______MMM02" localSheetId="12">#REF!</definedName>
    <definedName name="______MMM03" localSheetId="12">#REF!</definedName>
    <definedName name="______MMM04" localSheetId="12">#REF!</definedName>
    <definedName name="______MMM05" localSheetId="12">#REF!</definedName>
    <definedName name="______MMM06" localSheetId="12">#REF!</definedName>
    <definedName name="______MMM07" localSheetId="12">#REF!</definedName>
    <definedName name="______MMM08" localSheetId="12">#REF!</definedName>
    <definedName name="______MMM09" localSheetId="12">#REF!</definedName>
    <definedName name="______MMM10" localSheetId="12">#REF!</definedName>
    <definedName name="______MMM11" localSheetId="12">#REF!</definedName>
    <definedName name="______MMM12" localSheetId="12">#REF!</definedName>
    <definedName name="______MMM13" localSheetId="12">#REF!</definedName>
    <definedName name="______MMM14" localSheetId="12">#REF!</definedName>
    <definedName name="______MMM15" localSheetId="12">#REF!</definedName>
    <definedName name="______MMM16" localSheetId="12">#REF!</definedName>
    <definedName name="______MMM17" localSheetId="12">#REF!</definedName>
    <definedName name="______MMM18" localSheetId="12">#REF!</definedName>
    <definedName name="______MMM19" localSheetId="12">#REF!</definedName>
    <definedName name="______MMM20" localSheetId="12">#REF!</definedName>
    <definedName name="______MMM21" localSheetId="12">#REF!</definedName>
    <definedName name="______MMM22" localSheetId="12">#REF!</definedName>
    <definedName name="______MMM23" localSheetId="12">#REF!</definedName>
    <definedName name="______MMM24" localSheetId="12">#REF!</definedName>
    <definedName name="______MMM25" localSheetId="12">#REF!</definedName>
    <definedName name="______MMM26" localSheetId="12">#REF!</definedName>
    <definedName name="______MMM27" localSheetId="12">#REF!</definedName>
    <definedName name="______MMM28" localSheetId="12">#REF!</definedName>
    <definedName name="______MMM29" localSheetId="12">#REF!</definedName>
    <definedName name="______MMM30" localSheetId="12">#REF!</definedName>
    <definedName name="______MMM31" localSheetId="12">#REF!</definedName>
    <definedName name="______MMM32" localSheetId="12">#REF!</definedName>
    <definedName name="______MMM33" localSheetId="12">#REF!</definedName>
    <definedName name="______MMM34" localSheetId="12">#REF!</definedName>
    <definedName name="______MMM35" localSheetId="12">#REF!</definedName>
    <definedName name="______MMM36" localSheetId="12">#REF!</definedName>
    <definedName name="______MMM37" localSheetId="12">#REF!</definedName>
    <definedName name="______MMM38" localSheetId="12">#REF!</definedName>
    <definedName name="______MMM39" localSheetId="12">#REF!</definedName>
    <definedName name="______MMM40" localSheetId="12">#REF!</definedName>
    <definedName name="______MMM41" localSheetId="12">#REF!</definedName>
    <definedName name="______MMM411" localSheetId="12">#REF!</definedName>
    <definedName name="______MMM42" localSheetId="12">#REF!</definedName>
    <definedName name="______MMM43" localSheetId="12">#REF!</definedName>
    <definedName name="______MMM44" localSheetId="12">#REF!</definedName>
    <definedName name="______MMM45" localSheetId="12">#REF!</definedName>
    <definedName name="______MMM46" localSheetId="12">#REF!</definedName>
    <definedName name="______MMM47" localSheetId="12">#REF!</definedName>
    <definedName name="______MMM48" localSheetId="12">#REF!</definedName>
    <definedName name="______MMM49" localSheetId="12">#REF!</definedName>
    <definedName name="______MMM50" localSheetId="12">#REF!</definedName>
    <definedName name="______MMM51" localSheetId="12">#REF!</definedName>
    <definedName name="______MMM52" localSheetId="12">#REF!</definedName>
    <definedName name="______MMM53" localSheetId="12">#REF!</definedName>
    <definedName name="______MMM54" localSheetId="12">#REF!</definedName>
    <definedName name="_____LLL01" localSheetId="12">#REF!</definedName>
    <definedName name="_____LLL02" localSheetId="12">#REF!</definedName>
    <definedName name="_____LLL03" localSheetId="12">#REF!</definedName>
    <definedName name="_____LLL04" localSheetId="12">#REF!</definedName>
    <definedName name="_____LLL05" localSheetId="12">#REF!</definedName>
    <definedName name="_____LLL06" localSheetId="12">#REF!</definedName>
    <definedName name="_____LLL07" localSheetId="12">#REF!</definedName>
    <definedName name="_____LLL08" localSheetId="12">#REF!</definedName>
    <definedName name="_____LLL09" localSheetId="12">#REF!</definedName>
    <definedName name="_____LLL10" localSheetId="12">#REF!</definedName>
    <definedName name="_____LLL11" localSheetId="12">#REF!</definedName>
    <definedName name="_____MMM01" localSheetId="12">#REF!</definedName>
    <definedName name="_____MMM02" localSheetId="12">#REF!</definedName>
    <definedName name="_____MMM03" localSheetId="12">#REF!</definedName>
    <definedName name="_____MMM04" localSheetId="12">#REF!</definedName>
    <definedName name="_____MMM05" localSheetId="12">#REF!</definedName>
    <definedName name="_____MMM06" localSheetId="12">#REF!</definedName>
    <definedName name="_____MMM07" localSheetId="12">#REF!</definedName>
    <definedName name="_____MMM08" localSheetId="12">#REF!</definedName>
    <definedName name="_____MMM09" localSheetId="12">#REF!</definedName>
    <definedName name="_____MMM10" localSheetId="12">#REF!</definedName>
    <definedName name="_____MMM11" localSheetId="12">#REF!</definedName>
    <definedName name="_____MMM12" localSheetId="12">#REF!</definedName>
    <definedName name="_____MMM13" localSheetId="12">#REF!</definedName>
    <definedName name="_____MMM14" localSheetId="12">#REF!</definedName>
    <definedName name="_____MMM15" localSheetId="12">#REF!</definedName>
    <definedName name="_____MMM16" localSheetId="12">#REF!</definedName>
    <definedName name="_____MMM17" localSheetId="12">#REF!</definedName>
    <definedName name="_____MMM18" localSheetId="12">#REF!</definedName>
    <definedName name="_____MMM19" localSheetId="12">#REF!</definedName>
    <definedName name="_____MMM20" localSheetId="12">#REF!</definedName>
    <definedName name="_____MMM21" localSheetId="12">#REF!</definedName>
    <definedName name="_____MMM22" localSheetId="12">#REF!</definedName>
    <definedName name="_____MMM23" localSheetId="12">#REF!</definedName>
    <definedName name="_____MMM24" localSheetId="12">#REF!</definedName>
    <definedName name="_____MMM25" localSheetId="12">#REF!</definedName>
    <definedName name="_____MMM26" localSheetId="12">#REF!</definedName>
    <definedName name="_____MMM27" localSheetId="12">#REF!</definedName>
    <definedName name="_____MMM28" localSheetId="12">#REF!</definedName>
    <definedName name="_____MMM29" localSheetId="12">#REF!</definedName>
    <definedName name="_____MMM30" localSheetId="12">#REF!</definedName>
    <definedName name="_____MMM31" localSheetId="12">#REF!</definedName>
    <definedName name="_____MMM32" localSheetId="12">#REF!</definedName>
    <definedName name="_____MMM33" localSheetId="12">#REF!</definedName>
    <definedName name="_____MMM34" localSheetId="12">#REF!</definedName>
    <definedName name="_____MMM35" localSheetId="12">#REF!</definedName>
    <definedName name="_____MMM36" localSheetId="12">#REF!</definedName>
    <definedName name="_____MMM37" localSheetId="12">#REF!</definedName>
    <definedName name="_____MMM38" localSheetId="12">#REF!</definedName>
    <definedName name="_____MMM39" localSheetId="12">#REF!</definedName>
    <definedName name="_____MMM40" localSheetId="12">#REF!</definedName>
    <definedName name="_____MMM41" localSheetId="12">#REF!</definedName>
    <definedName name="_____MMM411" localSheetId="12">#REF!</definedName>
    <definedName name="_____MMM42" localSheetId="12">#REF!</definedName>
    <definedName name="_____MMM43" localSheetId="12">#REF!</definedName>
    <definedName name="_____MMM44" localSheetId="12">#REF!</definedName>
    <definedName name="_____MMM45" localSheetId="12">#REF!</definedName>
    <definedName name="_____MMM46" localSheetId="12">#REF!</definedName>
    <definedName name="_____MMM47" localSheetId="12">#REF!</definedName>
    <definedName name="_____MMM48" localSheetId="12">#REF!</definedName>
    <definedName name="_____MMM49" localSheetId="12">#REF!</definedName>
    <definedName name="_____MMM50" localSheetId="12">#REF!</definedName>
    <definedName name="_____MMM51" localSheetId="12">#REF!</definedName>
    <definedName name="_____MMM52" localSheetId="12">#REF!</definedName>
    <definedName name="_____MMM53" localSheetId="12">#REF!</definedName>
    <definedName name="_____MMM54" localSheetId="12">#REF!</definedName>
    <definedName name="____LLL01" localSheetId="12">#REF!</definedName>
    <definedName name="____LLL02" localSheetId="12">#REF!</definedName>
    <definedName name="____LLL03" localSheetId="12">#REF!</definedName>
    <definedName name="____LLL04" localSheetId="12">#REF!</definedName>
    <definedName name="____LLL05" localSheetId="12">#REF!</definedName>
    <definedName name="____LLL06" localSheetId="12">#REF!</definedName>
    <definedName name="____LLL07" localSheetId="12">#REF!</definedName>
    <definedName name="____LLL08" localSheetId="12">#REF!</definedName>
    <definedName name="____LLL09" localSheetId="12">#REF!</definedName>
    <definedName name="____LLL10" localSheetId="12">#REF!</definedName>
    <definedName name="____LLL11" localSheetId="12">#REF!</definedName>
    <definedName name="____MMM01" localSheetId="12">#REF!</definedName>
    <definedName name="____MMM02" localSheetId="12">#REF!</definedName>
    <definedName name="____MMM03" localSheetId="12">#REF!</definedName>
    <definedName name="____MMM04" localSheetId="12">#REF!</definedName>
    <definedName name="____MMM05" localSheetId="12">#REF!</definedName>
    <definedName name="____MMM06" localSheetId="12">#REF!</definedName>
    <definedName name="____MMM07" localSheetId="12">#REF!</definedName>
    <definedName name="____MMM08" localSheetId="12">#REF!</definedName>
    <definedName name="____MMM09" localSheetId="12">#REF!</definedName>
    <definedName name="____MMM10" localSheetId="12">#REF!</definedName>
    <definedName name="____MMM11" localSheetId="12">#REF!</definedName>
    <definedName name="____MMM12" localSheetId="12">#REF!</definedName>
    <definedName name="____MMM13" localSheetId="12">#REF!</definedName>
    <definedName name="____MMM14" localSheetId="12">#REF!</definedName>
    <definedName name="____MMM15" localSheetId="12">#REF!</definedName>
    <definedName name="____MMM16" localSheetId="12">#REF!</definedName>
    <definedName name="____MMM17" localSheetId="12">#REF!</definedName>
    <definedName name="____MMM18" localSheetId="12">#REF!</definedName>
    <definedName name="____MMM19" localSheetId="12">#REF!</definedName>
    <definedName name="____MMM20" localSheetId="12">#REF!</definedName>
    <definedName name="____MMM21" localSheetId="12">#REF!</definedName>
    <definedName name="____MMM22" localSheetId="12">#REF!</definedName>
    <definedName name="____MMM23" localSheetId="12">#REF!</definedName>
    <definedName name="____MMM24" localSheetId="12">#REF!</definedName>
    <definedName name="____MMM25" localSheetId="12">#REF!</definedName>
    <definedName name="____MMM26" localSheetId="12">#REF!</definedName>
    <definedName name="____MMM27" localSheetId="12">#REF!</definedName>
    <definedName name="____MMM28" localSheetId="12">#REF!</definedName>
    <definedName name="____MMM29" localSheetId="12">#REF!</definedName>
    <definedName name="____MMM30" localSheetId="12">#REF!</definedName>
    <definedName name="____MMM31" localSheetId="12">#REF!</definedName>
    <definedName name="____MMM32" localSheetId="12">#REF!</definedName>
    <definedName name="____MMM33" localSheetId="12">#REF!</definedName>
    <definedName name="____MMM34" localSheetId="12">#REF!</definedName>
    <definedName name="____MMM35" localSheetId="12">#REF!</definedName>
    <definedName name="____MMM36" localSheetId="12">#REF!</definedName>
    <definedName name="____MMM37" localSheetId="12">#REF!</definedName>
    <definedName name="____MMM38" localSheetId="12">#REF!</definedName>
    <definedName name="____MMM39" localSheetId="12">#REF!</definedName>
    <definedName name="____MMM40" localSheetId="12">#REF!</definedName>
    <definedName name="____MMM41" localSheetId="12">#REF!</definedName>
    <definedName name="____MMM411" localSheetId="12">#REF!</definedName>
    <definedName name="____MMM42" localSheetId="12">#REF!</definedName>
    <definedName name="____MMM43" localSheetId="12">#REF!</definedName>
    <definedName name="____MMM44" localSheetId="12">#REF!</definedName>
    <definedName name="____MMM45" localSheetId="12">#REF!</definedName>
    <definedName name="____MMM46" localSheetId="12">#REF!</definedName>
    <definedName name="____MMM47" localSheetId="12">#REF!</definedName>
    <definedName name="____MMM48" localSheetId="12">#REF!</definedName>
    <definedName name="____MMM49" localSheetId="12">#REF!</definedName>
    <definedName name="____MMM50" localSheetId="12">#REF!</definedName>
    <definedName name="____MMM51" localSheetId="12">#REF!</definedName>
    <definedName name="____MMM52" localSheetId="12">#REF!</definedName>
    <definedName name="____MMM53" localSheetId="12">#REF!</definedName>
    <definedName name="____MMM54" localSheetId="12">#REF!</definedName>
    <definedName name="___MDE26" localSheetId="12">#REF!</definedName>
    <definedName name="___ME26" localSheetId="12">#REF!</definedName>
    <definedName name="__HAL1" localSheetId="12">#REF!</definedName>
    <definedName name="__MDE26" localSheetId="12">#REF!</definedName>
    <definedName name="__ME26" localSheetId="12">#REF!</definedName>
    <definedName name="__sp606" localSheetId="12">#REF!</definedName>
    <definedName name="_110" localSheetId="12">#REF!</definedName>
    <definedName name="_210" localSheetId="12">#REF!</definedName>
    <definedName name="_224" localSheetId="12">#REF!</definedName>
    <definedName name="_225" localSheetId="12">#REF!</definedName>
    <definedName name="_310" localSheetId="12">#REF!</definedName>
    <definedName name="_410" localSheetId="12">#REF!</definedName>
    <definedName name="_424" localSheetId="12">#REF!</definedName>
    <definedName name="_514" localSheetId="12">#REF!</definedName>
    <definedName name="_705" localSheetId="12">#REF!</definedName>
    <definedName name="_EEE01" localSheetId="12">#REF!</definedName>
    <definedName name="_EEE03" localSheetId="12">#REF!</definedName>
    <definedName name="_EEE04" localSheetId="12">#REF!</definedName>
    <definedName name="_EEE12" localSheetId="12">#REF!</definedName>
    <definedName name="_EEE14" localSheetId="12">#REF!</definedName>
    <definedName name="_EEE15" localSheetId="12">#REF!</definedName>
    <definedName name="_EEE18" localSheetId="12">#REF!</definedName>
    <definedName name="_EEE19" localSheetId="12">#REF!</definedName>
    <definedName name="_EEE20" localSheetId="12">#REF!</definedName>
    <definedName name="_EEE21" localSheetId="12">#REF!</definedName>
    <definedName name="_EEE22" localSheetId="12">#REF!</definedName>
    <definedName name="_EEE24" localSheetId="12">#REF!</definedName>
    <definedName name="_EEE25" localSheetId="12">#REF!</definedName>
    <definedName name="_EEE26" localSheetId="12">#REF!</definedName>
    <definedName name="_EEE28" localSheetId="12">#REF!</definedName>
    <definedName name="_EEE30" localSheetId="12">#REF!</definedName>
    <definedName name="_EEE32" localSheetId="12">#REF!</definedName>
    <definedName name="_EEE33" localSheetId="12">#REF!</definedName>
    <definedName name="_Fill" localSheetId="12" hidden="1">#REF!</definedName>
    <definedName name="_HAL1" localSheetId="12">#REF!</definedName>
    <definedName name="_Key1" localSheetId="12" hidden="1">#REF!</definedName>
    <definedName name="_Key2" localSheetId="12" hidden="1">#REF!</definedName>
    <definedName name="_MDE26" localSheetId="12">#REF!</definedName>
    <definedName name="_ME26" localSheetId="12">#REF!</definedName>
    <definedName name="_Sort" localSheetId="12" hidden="1">#REF!</definedName>
    <definedName name="_sp606" localSheetId="12">#REF!</definedName>
    <definedName name="_Table1_In1" localSheetId="12" hidden="1">#REF!</definedName>
    <definedName name="_Table1_Out" localSheetId="12" hidden="1">#REF!</definedName>
    <definedName name="_Table2_In1" localSheetId="12" hidden="1">#REF!</definedName>
    <definedName name="_Table2_In2" localSheetId="12" hidden="1">#REF!</definedName>
    <definedName name="_Table2_Out" localSheetId="12" hidden="1">#REF!</definedName>
    <definedName name="A.1" localSheetId="12">#REF!</definedName>
    <definedName name="A.16" localSheetId="12">#REF!</definedName>
    <definedName name="A.18_PASIR" localSheetId="12">#REF!</definedName>
    <definedName name="A.18_TANAH" localSheetId="12">#REF!</definedName>
    <definedName name="A.2" localSheetId="12">#REF!</definedName>
    <definedName name="A.4" localSheetId="12">#REF!</definedName>
    <definedName name="A_1" localSheetId="12">#REF!</definedName>
    <definedName name="AAA" localSheetId="12">#REF!</definedName>
    <definedName name="adsdsd" localSheetId="12">#REF!</definedName>
    <definedName name="alat" localSheetId="12">#REF!</definedName>
    <definedName name="ALATUTAMA" localSheetId="12">#REF!</definedName>
    <definedName name="AMP" localSheetId="12">#REF!</definedName>
    <definedName name="AN.1" localSheetId="12">#REF!</definedName>
    <definedName name="april" localSheetId="12">#REF!</definedName>
    <definedName name="asdasd" localSheetId="12">#REF!</definedName>
    <definedName name="ATAP" localSheetId="12">#REF!</definedName>
    <definedName name="bb" localSheetId="12">#REF!</definedName>
    <definedName name="bbb" localSheetId="12">#REF!</definedName>
    <definedName name="BET_NON_STRUK" localSheetId="12">#REF!</definedName>
    <definedName name="bhn" localSheetId="12">#REF!</definedName>
    <definedName name="BHN.MAROS" localSheetId="12">#REF!</definedName>
    <definedName name="bhn.maros1" localSheetId="12">#REF!</definedName>
    <definedName name="bhn.pangkep" localSheetId="12">#REF!</definedName>
    <definedName name="bnb" localSheetId="12">#REF!</definedName>
    <definedName name="BULLDOZER" localSheetId="12">#REF!</definedName>
    <definedName name="CAT" localSheetId="12">#REF!</definedName>
    <definedName name="CCCC" localSheetId="12" hidden="1">#REF!</definedName>
    <definedName name="COMPRESSOR" localSheetId="12">#REF!</definedName>
    <definedName name="CONCRETEMIXER" localSheetId="12">#REF!</definedName>
    <definedName name="CONCRETEVIBRO" localSheetId="12">#REF!</definedName>
    <definedName name="CRANE" localSheetId="12">#REF!</definedName>
    <definedName name="D" localSheetId="12">#REF!</definedName>
    <definedName name="DAFTARSEWA" localSheetId="12">#REF!</definedName>
    <definedName name="dd" localSheetId="12" hidden="1">#REF!</definedName>
    <definedName name="dddd" localSheetId="12" hidden="1">#REF!</definedName>
    <definedName name="deuicker" localSheetId="12">#REF!</definedName>
    <definedName name="Dibuat_tgl" localSheetId="12">#REF!</definedName>
    <definedName name="DINDING" localSheetId="12">#REF!</definedName>
    <definedName name="Disiapkan_oleh" localSheetId="12">#REF!</definedName>
    <definedName name="DUMPTRUCK1" localSheetId="12">#REF!</definedName>
    <definedName name="DUMPTRUCK2" localSheetId="12">#REF!</definedName>
    <definedName name="E.13" localSheetId="12">#REF!</definedName>
    <definedName name="E_001" localSheetId="12">#REF!</definedName>
    <definedName name="E_010" localSheetId="12">#REF!</definedName>
    <definedName name="E_031" localSheetId="12">#REF!</definedName>
    <definedName name="E_040" localSheetId="12">#REF!</definedName>
    <definedName name="E_052" localSheetId="12">#REF!</definedName>
    <definedName name="E_080" localSheetId="12">#REF!</definedName>
    <definedName name="E_081" localSheetId="12">#REF!</definedName>
    <definedName name="E_084" localSheetId="12">#REF!</definedName>
    <definedName name="E_087" localSheetId="12">#REF!</definedName>
    <definedName name="E_088" localSheetId="12">#REF!</definedName>
    <definedName name="E_089" localSheetId="12">#REF!</definedName>
    <definedName name="E_13" localSheetId="12">#REF!</definedName>
    <definedName name="E_153" localSheetId="12">#REF!</definedName>
    <definedName name="E_154" localSheetId="12">#REF!</definedName>
    <definedName name="E_155" localSheetId="12">#REF!</definedName>
    <definedName name="E_157" localSheetId="12">#REF!</definedName>
    <definedName name="E_182" localSheetId="12">#REF!</definedName>
    <definedName name="E_211" localSheetId="12">#REF!</definedName>
    <definedName name="E_212" localSheetId="12">#REF!</definedName>
    <definedName name="E_221" localSheetId="12">#REF!</definedName>
    <definedName name="E_251" localSheetId="12">#REF!</definedName>
    <definedName name="E_253" localSheetId="12">#REF!</definedName>
    <definedName name="E_301" localSheetId="12">#REF!</definedName>
    <definedName name="E_341" localSheetId="12">#REF!</definedName>
    <definedName name="EXCAVATOR" localSheetId="12">#REF!</definedName>
    <definedName name="F.1_I" localSheetId="12">#REF!</definedName>
    <definedName name="F.1_II" localSheetId="12">#REF!</definedName>
    <definedName name="F.16" localSheetId="12">#REF!</definedName>
    <definedName name="F.21_I" localSheetId="12">#REF!</definedName>
    <definedName name="F.21_II" localSheetId="12">#REF!</definedName>
    <definedName name="F.22_I" localSheetId="12">#REF!</definedName>
    <definedName name="F.22_II" localSheetId="12">#REF!</definedName>
    <definedName name="F.27_I" localSheetId="12">#REF!</definedName>
    <definedName name="F.27_II" localSheetId="12">#REF!</definedName>
    <definedName name="F.30_I_TEAK" localSheetId="12">#REF!</definedName>
    <definedName name="F.30_I_TRIP" localSheetId="12">#REF!</definedName>
    <definedName name="F.30_II_TEAK" localSheetId="12">#REF!</definedName>
    <definedName name="F.30_II_TRIP" localSheetId="12">#REF!</definedName>
    <definedName name="F.31_I" localSheetId="12">#REF!</definedName>
    <definedName name="F.31_II" localSheetId="12">#REF!</definedName>
    <definedName name="F.33_I" localSheetId="12">#REF!</definedName>
    <definedName name="F.33_II" localSheetId="12">#REF!</definedName>
    <definedName name="F.35_B3" localSheetId="12">#REF!</definedName>
    <definedName name="F.35_B5" localSheetId="12">#REF!</definedName>
    <definedName name="F.35_R3" localSheetId="12">#REF!</definedName>
    <definedName name="F.35_R5" localSheetId="12">#REF!</definedName>
    <definedName name="F.36_B_I" localSheetId="12">#REF!</definedName>
    <definedName name="F.36_B_II" localSheetId="12">#REF!</definedName>
    <definedName name="F.36_R_I" localSheetId="12">#REF!</definedName>
    <definedName name="F.36_R_II" localSheetId="12">#REF!</definedName>
    <definedName name="F.36A_I" localSheetId="12">#REF!</definedName>
    <definedName name="F.36A_II" localSheetId="12">#REF!</definedName>
    <definedName name="F.37_P_I" localSheetId="12">#REF!</definedName>
    <definedName name="F.37_P_II" localSheetId="12">#REF!</definedName>
    <definedName name="F.37_T" localSheetId="12">#REF!</definedName>
    <definedName name="F.37_TEAK" localSheetId="12">#REF!</definedName>
    <definedName name="F.38_I" localSheetId="12">#REF!</definedName>
    <definedName name="F.38_II" localSheetId="12">#REF!</definedName>
    <definedName name="F.47_I" localSheetId="12">#REF!</definedName>
    <definedName name="F.47_II" localSheetId="12">#REF!</definedName>
    <definedName name="FFF" localSheetId="12">#REF!</definedName>
    <definedName name="FINISHER" localSheetId="12">#REF!</definedName>
    <definedName name="FINISHING" localSheetId="12">#REF!</definedName>
    <definedName name="FLATBEDTRUCK" localSheetId="12">#REF!</definedName>
    <definedName name="FORM323L" localSheetId="12">#REF!</definedName>
    <definedName name="FORM611" localSheetId="12">#REF!</definedName>
    <definedName name="FORM612" localSheetId="12">#REF!</definedName>
    <definedName name="FORM621" localSheetId="12">#REF!</definedName>
    <definedName name="FORM622" localSheetId="12">#REF!</definedName>
    <definedName name="FORM623" localSheetId="12">#REF!</definedName>
    <definedName name="FORM631" localSheetId="12">#REF!</definedName>
    <definedName name="FORM632" localSheetId="12">#REF!</definedName>
    <definedName name="FORM633" localSheetId="12">#REF!</definedName>
    <definedName name="FORM634" localSheetId="12">#REF!</definedName>
    <definedName name="FORM635" localSheetId="12">#REF!</definedName>
    <definedName name="FORM635A" localSheetId="12">#REF!</definedName>
    <definedName name="FORM636" localSheetId="12">#REF!</definedName>
    <definedName name="FORM641L" localSheetId="12">#REF!</definedName>
    <definedName name="FORM642" localSheetId="12">#REF!</definedName>
    <definedName name="FORM65" localSheetId="12">#REF!</definedName>
    <definedName name="FORM66PERATA" localSheetId="12">#REF!</definedName>
    <definedName name="FORM66PERMUKAAN" localSheetId="12">#REF!</definedName>
    <definedName name="FORM7101" localSheetId="12">#REF!</definedName>
    <definedName name="FORM7102" localSheetId="12">#REF!</definedName>
    <definedName name="FORM7103" localSheetId="12">#REF!</definedName>
    <definedName name="FORM711" localSheetId="12">#REF!</definedName>
    <definedName name="FORM712" localSheetId="12">#REF!</definedName>
    <definedName name="FORM713" localSheetId="12">#REF!</definedName>
    <definedName name="FORM714" localSheetId="12">#REF!</definedName>
    <definedName name="FORM715" localSheetId="12">#REF!</definedName>
    <definedName name="FORM716" localSheetId="12">#REF!</definedName>
    <definedName name="FORM717" localSheetId="12">#REF!</definedName>
    <definedName name="FORM718" localSheetId="12">#REF!</definedName>
    <definedName name="FORM721" localSheetId="12">#REF!</definedName>
    <definedName name="FORM731" localSheetId="12">#REF!</definedName>
    <definedName name="FORM732" localSheetId="12">#REF!</definedName>
    <definedName name="FORM733" localSheetId="12">#REF!</definedName>
    <definedName name="FORM734" localSheetId="12">#REF!</definedName>
    <definedName name="FORM735" localSheetId="12">#REF!</definedName>
    <definedName name="FORM744" localSheetId="12">#REF!</definedName>
    <definedName name="FORM745" localSheetId="12">#REF!</definedName>
    <definedName name="FORM7610" localSheetId="12">#REF!</definedName>
    <definedName name="FORM7612a" localSheetId="12">#REF!</definedName>
    <definedName name="FORM7612b" localSheetId="12">#REF!</definedName>
    <definedName name="FORM7612c" localSheetId="12">#REF!</definedName>
    <definedName name="FORM7613a" localSheetId="12">#REF!</definedName>
    <definedName name="FORM7613b" localSheetId="12">#REF!</definedName>
    <definedName name="FORM7613c" localSheetId="12">#REF!</definedName>
    <definedName name="FORM7614a" localSheetId="12">#REF!</definedName>
    <definedName name="FORM7614b" localSheetId="12">#REF!</definedName>
    <definedName name="FORM7614c" localSheetId="12">#REF!</definedName>
    <definedName name="FORM7614d" localSheetId="12">#REF!</definedName>
    <definedName name="FORM7614e" localSheetId="12">#REF!</definedName>
    <definedName name="FORM7618" localSheetId="12">#REF!</definedName>
    <definedName name="FORM7619" localSheetId="12">#REF!</definedName>
    <definedName name="FORM768" localSheetId="12">#REF!</definedName>
    <definedName name="FORM769" localSheetId="12">#REF!</definedName>
    <definedName name="FORM76X" localSheetId="12">#REF!</definedName>
    <definedName name="FORM771a" localSheetId="12">#REF!</definedName>
    <definedName name="FORM771b" localSheetId="12">#REF!</definedName>
    <definedName name="FORM771c" localSheetId="12">#REF!</definedName>
    <definedName name="FORM771d" localSheetId="12">#REF!</definedName>
    <definedName name="FORM772a" localSheetId="12">#REF!</definedName>
    <definedName name="FORM772b" localSheetId="12">#REF!</definedName>
    <definedName name="FORM772c" localSheetId="12">#REF!</definedName>
    <definedName name="FORM772d" localSheetId="12">#REF!</definedName>
    <definedName name="FORM79manual" localSheetId="12">#REF!</definedName>
    <definedName name="FORM79mekanis" localSheetId="12">#REF!</definedName>
    <definedName name="FORM811" localSheetId="12">#REF!</definedName>
    <definedName name="FORM812" localSheetId="12">#REF!</definedName>
    <definedName name="FORM813" localSheetId="12">#REF!</definedName>
    <definedName name="FORM814" localSheetId="12">#REF!</definedName>
    <definedName name="FORM815" localSheetId="12">#REF!</definedName>
    <definedName name="FORM817" localSheetId="12">#REF!</definedName>
    <definedName name="FORM818" localSheetId="12">#REF!</definedName>
    <definedName name="FORM819" localSheetId="12">#REF!</definedName>
    <definedName name="FORM82" localSheetId="12">#REF!</definedName>
    <definedName name="FORM841" localSheetId="12">#REF!</definedName>
    <definedName name="FORM8410" localSheetId="12">#REF!</definedName>
    <definedName name="FORM842" localSheetId="12">#REF!</definedName>
    <definedName name="FORM844" localSheetId="12">#REF!</definedName>
    <definedName name="FORM845" localSheetId="12">#REF!</definedName>
    <definedName name="FORM846" localSheetId="12">#REF!</definedName>
    <definedName name="FORM847" localSheetId="12">#REF!</definedName>
    <definedName name="FORMGEOTEKSTIL" localSheetId="12">#REF!</definedName>
    <definedName name="FRRDS" localSheetId="12">#REF!</definedName>
    <definedName name="FULVIMIXER" localSheetId="12">#REF!</definedName>
    <definedName name="G.14" localSheetId="12">#REF!</definedName>
    <definedName name="G.16" localSheetId="12">#REF!</definedName>
    <definedName name="G.2" localSheetId="12">#REF!</definedName>
    <definedName name="G.32H" localSheetId="12">#REF!</definedName>
    <definedName name="G.32K" localSheetId="12">#REF!</definedName>
    <definedName name="G.32L" localSheetId="12">#REF!</definedName>
    <definedName name="G.33F" localSheetId="12">#REF!</definedName>
    <definedName name="G.33H" localSheetId="12">#REF!</definedName>
    <definedName name="G.33I" localSheetId="12">#REF!</definedName>
    <definedName name="G.33L" localSheetId="12">#REF!</definedName>
    <definedName name="G.44" localSheetId="12">#REF!</definedName>
    <definedName name="G.50H" localSheetId="12">#REF!</definedName>
    <definedName name="G.50I" localSheetId="12">#REF!</definedName>
    <definedName name="G.50J" localSheetId="12">#REF!</definedName>
    <definedName name="G.50K" localSheetId="12">#REF!</definedName>
    <definedName name="G.50O" localSheetId="12">#REF!</definedName>
    <definedName name="G.50P" localSheetId="12">#REF!</definedName>
    <definedName name="G.51C" localSheetId="12">#REF!</definedName>
    <definedName name="G.51D" localSheetId="12">#REF!</definedName>
    <definedName name="G.53" localSheetId="12">#REF!</definedName>
    <definedName name="G.53A" localSheetId="12">#REF!</definedName>
    <definedName name="G.55B" localSheetId="12">#REF!</definedName>
    <definedName name="G.55C" localSheetId="12">#REF!</definedName>
    <definedName name="G.5A" localSheetId="12">#REF!</definedName>
    <definedName name="G.5B" localSheetId="12">#REF!</definedName>
    <definedName name="G.5C" localSheetId="12">#REF!</definedName>
    <definedName name="G.6" localSheetId="12">#REF!</definedName>
    <definedName name="G.67" localSheetId="12">#REF!</definedName>
    <definedName name="G.72_20X20" localSheetId="12">#REF!</definedName>
    <definedName name="G.72_30X30" localSheetId="12">#REF!</definedName>
    <definedName name="G.72_M_30X30" localSheetId="12">#REF!</definedName>
    <definedName name="G_1" localSheetId="12">#REF!</definedName>
    <definedName name="G_50m" localSheetId="12">#REF!</definedName>
    <definedName name="G_53A" localSheetId="12">#REF!</definedName>
    <definedName name="G_72b" localSheetId="12">#REF!</definedName>
    <definedName name="GENSET" localSheetId="12">#REF!</definedName>
    <definedName name="GRADER" localSheetId="12">#REF!</definedName>
    <definedName name="H.10_ASBES" localSheetId="12">#REF!</definedName>
    <definedName name="H.10_SENG" localSheetId="12">#REF!</definedName>
    <definedName name="H.14_KARET" localSheetId="12">#REF!</definedName>
    <definedName name="H.14_SENG_PLAT" localSheetId="12">#REF!</definedName>
    <definedName name="H.17_KARET" localSheetId="12">#REF!</definedName>
    <definedName name="H.17_SENG_PLAT" localSheetId="12">#REF!</definedName>
    <definedName name="H.2" localSheetId="12">#REF!</definedName>
    <definedName name="H.6" localSheetId="12">#REF!</definedName>
    <definedName name="H.8_AS_GEL" localSheetId="12">#REF!</definedName>
    <definedName name="H.8_AS_GEN" localSheetId="12">#REF!</definedName>
    <definedName name="H.8_SENG" localSheetId="12">#REF!</definedName>
    <definedName name="HARGA" localSheetId="12">#REF!</definedName>
    <definedName name="hargasatuan" localSheetId="12">#REF!</definedName>
    <definedName name="hlll" localSheetId="12" hidden="1">#REF!</definedName>
    <definedName name="hrg_dsr" localSheetId="12">#REF!</definedName>
    <definedName name="INSTALASI_LISTRIK" localSheetId="12">#REF!</definedName>
    <definedName name="JACKHAMMER" localSheetId="12">#REF!</definedName>
    <definedName name="JAM" localSheetId="12">#REF!</definedName>
    <definedName name="JAMER" localSheetId="12">#REF!</definedName>
    <definedName name="jml" localSheetId="12">#REF!</definedName>
    <definedName name="K" localSheetId="12">#REF!</definedName>
    <definedName name="K.30" localSheetId="12">#REF!</definedName>
    <definedName name="K.7_23_CAT" localSheetId="12">#REF!</definedName>
    <definedName name="K.7_23_KAPUR" localSheetId="12">#REF!</definedName>
    <definedName name="K.8_23_ASGEN" localSheetId="12">#REF!</definedName>
    <definedName name="K.8_23_SENG" localSheetId="12">#REF!</definedName>
    <definedName name="K.9_23" localSheetId="12">#REF!</definedName>
    <definedName name="K.9_23B" localSheetId="12">#REF!</definedName>
    <definedName name="K_010" localSheetId="12">#REF!</definedName>
    <definedName name="K_011" localSheetId="12">#REF!</definedName>
    <definedName name="K_011_peng.kr.gal.t.saring.b_hal.2" localSheetId="12">#REF!</definedName>
    <definedName name="K_012" localSheetId="12">#REF!</definedName>
    <definedName name="K_012_peng.kr.sung.t.saring.a_hal.3" localSheetId="12">#REF!</definedName>
    <definedName name="K_013_peng.kr.sung.t.saring.b_hal.4" localSheetId="12">#REF!</definedName>
    <definedName name="K_014" localSheetId="12">#REF!</definedName>
    <definedName name="K_016" localSheetId="12">#REF!</definedName>
    <definedName name="K_016_peng.kr.sung.saring.a_hal.6" localSheetId="12">#REF!</definedName>
    <definedName name="K_017" localSheetId="12">#REF!</definedName>
    <definedName name="K_017_produk.bt.sung.pch.saring.a_hal.7" localSheetId="12">#REF!</definedName>
    <definedName name="K_023_produk.suplai_lasbutag.b_hal.47" localSheetId="12">#REF!</definedName>
    <definedName name="K_026" localSheetId="12">#REF!</definedName>
    <definedName name="K_035" localSheetId="12">#REF!</definedName>
    <definedName name="K_040" localSheetId="12">#REF!</definedName>
    <definedName name="K_110" localSheetId="12">#REF!</definedName>
    <definedName name="K_115" localSheetId="12">#REF!</definedName>
    <definedName name="K_116" localSheetId="12">#REF!</definedName>
    <definedName name="K_210" localSheetId="12">#REF!</definedName>
    <definedName name="K_224" localSheetId="12">#REF!</definedName>
    <definedName name="K_225" localSheetId="12">#REF!</definedName>
    <definedName name="K_310" localSheetId="12">#REF!</definedName>
    <definedName name="K_311" localSheetId="12">#REF!</definedName>
    <definedName name="K_321" localSheetId="12">#REF!</definedName>
    <definedName name="K_410" localSheetId="12">#REF!</definedName>
    <definedName name="K_421" localSheetId="12">#REF!</definedName>
    <definedName name="K_422" localSheetId="12">#REF!</definedName>
    <definedName name="K_424" localSheetId="12">#REF!</definedName>
    <definedName name="K_514" localSheetId="12">#REF!</definedName>
    <definedName name="K_516" localSheetId="12">#REF!</definedName>
    <definedName name="K_523" localSheetId="12">#REF!</definedName>
    <definedName name="K_528" localSheetId="12">#REF!</definedName>
    <definedName name="K_612" localSheetId="12">#REF!</definedName>
    <definedName name="K_614" localSheetId="12">#REF!</definedName>
    <definedName name="K_617" localSheetId="12">#REF!</definedName>
    <definedName name="K_618" localSheetId="12">#REF!</definedName>
    <definedName name="K_631" localSheetId="12">#REF!</definedName>
    <definedName name="K_636" localSheetId="12">#REF!</definedName>
    <definedName name="K_705" localSheetId="12">#REF!</definedName>
    <definedName name="K_710" localSheetId="12">#REF!</definedName>
    <definedName name="K_715" localSheetId="12">#REF!</definedName>
    <definedName name="K_720" localSheetId="12">#REF!</definedName>
    <definedName name="K_721" localSheetId="12">#REF!</definedName>
    <definedName name="K_722" localSheetId="12">#REF!</definedName>
    <definedName name="K_722_beton.strukt.K225.alat.mix.125ltr_hal.11" localSheetId="12">#REF!</definedName>
    <definedName name="K_850" localSheetId="12">#REF!</definedName>
    <definedName name="K_855" localSheetId="12">#REF!</definedName>
    <definedName name="K_860" localSheetId="12">#REF!</definedName>
    <definedName name="K_865" localSheetId="12">#REF!</definedName>
    <definedName name="K_870" localSheetId="12">#REF!</definedName>
    <definedName name="K_875" localSheetId="12">#REF!</definedName>
    <definedName name="K_877" localSheetId="12">#REF!</definedName>
    <definedName name="K_880" localSheetId="12">#REF!</definedName>
    <definedName name="K_885" localSheetId="12">#REF!</definedName>
    <definedName name="KKKK" localSheetId="12" hidden="1">#REF!</definedName>
    <definedName name="kode.alat" localSheetId="12">#REF!</definedName>
    <definedName name="KUANTITAS" localSheetId="12">#REF!</definedName>
    <definedName name="KUDA" localSheetId="12">#REF!</definedName>
    <definedName name="KUDA_ATAP" localSheetId="12">#REF!</definedName>
    <definedName name="KUSEN" localSheetId="12">#REF!</definedName>
    <definedName name="KUSEN_JENDELA" localSheetId="12">#REF!</definedName>
    <definedName name="L_061" localSheetId="12">#REF!</definedName>
    <definedName name="L_073" localSheetId="12">#REF!</definedName>
    <definedName name="L_079" localSheetId="12">#REF!</definedName>
    <definedName name="L_081" localSheetId="12">#REF!</definedName>
    <definedName name="L_082" localSheetId="12">#REF!</definedName>
    <definedName name="L_083" localSheetId="12">#REF!</definedName>
    <definedName name="L_091" localSheetId="12">#REF!</definedName>
    <definedName name="L_099" localSheetId="12">#REF!</definedName>
    <definedName name="L_101" localSheetId="12">#REF!</definedName>
    <definedName name="L_106" localSheetId="12">#REF!</definedName>
    <definedName name="LANTAI_PLAFOND" localSheetId="12">#REF!</definedName>
    <definedName name="link" localSheetId="12">#REF!</definedName>
    <definedName name="M_010" localSheetId="12">#REF!</definedName>
    <definedName name="M_020" localSheetId="12">#REF!</definedName>
    <definedName name="M_021" localSheetId="12">#REF!</definedName>
    <definedName name="M_023" localSheetId="12">#REF!</definedName>
    <definedName name="M_024" localSheetId="12">#REF!</definedName>
    <definedName name="M_025" localSheetId="12">#REF!</definedName>
    <definedName name="M_040" localSheetId="12">#REF!</definedName>
    <definedName name="M_041" localSheetId="12">#REF!</definedName>
    <definedName name="M_050" localSheetId="12">#REF!</definedName>
    <definedName name="M_061" localSheetId="12">#REF!</definedName>
    <definedName name="M_062" localSheetId="12">#REF!</definedName>
    <definedName name="M_063" localSheetId="12">#REF!</definedName>
    <definedName name="M_065" localSheetId="12">#REF!</definedName>
    <definedName name="M_080" localSheetId="12">#REF!</definedName>
    <definedName name="M_081" localSheetId="12">#REF!</definedName>
    <definedName name="M_165" localSheetId="12">#REF!</definedName>
    <definedName name="M_166" localSheetId="12">#REF!</definedName>
    <definedName name="M_167" localSheetId="12">#REF!</definedName>
    <definedName name="M_170" localSheetId="12">#REF!</definedName>
    <definedName name="M_180" localSheetId="12">#REF!</definedName>
    <definedName name="MATERIALKU" localSheetId="12">#REF!</definedName>
    <definedName name="MK_012" localSheetId="12">#REF!</definedName>
    <definedName name="MK_014" localSheetId="12">#REF!</definedName>
    <definedName name="MK_017" localSheetId="12">#REF!</definedName>
    <definedName name="MK_023" localSheetId="12">#REF!</definedName>
    <definedName name="MK_522" localSheetId="12">#REF!</definedName>
    <definedName name="MMM" localSheetId="12" hidden="1">#REF!</definedName>
    <definedName name="MOBILISASI" localSheetId="12">#REF!</definedName>
    <definedName name="MR_11" localSheetId="12">#REF!</definedName>
    <definedName name="MR_12" localSheetId="12">#REF!</definedName>
    <definedName name="MR_42" localSheetId="12">#REF!</definedName>
    <definedName name="nanna79" localSheetId="12">#REF!</definedName>
    <definedName name="oda" localSheetId="12" hidden="1">#REF!</definedName>
    <definedName name="p" localSheetId="12">#REF!</definedName>
    <definedName name="P_GIP_1" localSheetId="12">#REF!</definedName>
    <definedName name="P_GIP_1_5" localSheetId="12">#REF!</definedName>
    <definedName name="P_GIP_2" localSheetId="12">#REF!</definedName>
    <definedName name="P_GIP_3" localSheetId="12">#REF!</definedName>
    <definedName name="P_GIP_4" localSheetId="12">#REF!</definedName>
    <definedName name="P_PVC_1" localSheetId="12">#REF!</definedName>
    <definedName name="P_PVC_1_5" localSheetId="12">#REF!</definedName>
    <definedName name="P_PVC_2" localSheetId="12">#REF!</definedName>
    <definedName name="P_PVC_3" localSheetId="12">#REF!</definedName>
    <definedName name="P_PVC_4" localSheetId="12">#REF!</definedName>
    <definedName name="PAPAN" localSheetId="12">#REF!</definedName>
    <definedName name="PEDESTRIANROLLER" localSheetId="12">#REF!</definedName>
    <definedName name="pek" localSheetId="12">#REF!</definedName>
    <definedName name="PENGECATAN" localSheetId="12">#REF!</definedName>
    <definedName name="PERSIAPAN" localSheetId="12">#REF!</definedName>
    <definedName name="PINTU" localSheetId="12">#REF!</definedName>
    <definedName name="PLAFOND" localSheetId="12">#REF!</definedName>
    <definedName name="PLAT_LANTAI" localSheetId="12">#REF!</definedName>
    <definedName name="PLESTERAN" localSheetId="12">#REF!</definedName>
    <definedName name="PONDASI" localSheetId="12">#REF!</definedName>
    <definedName name="PTJW" localSheetId="12">#REF!</definedName>
    <definedName name="qq" localSheetId="12">#REF!</definedName>
    <definedName name="RANGKA_PLAFOND" localSheetId="12">#REF!</definedName>
    <definedName name="RINCIANSEWA" localSheetId="12">#REF!</definedName>
    <definedName name="RINCIANSEWA2" localSheetId="12">#REF!</definedName>
    <definedName name="SALURAN_RABAT" localSheetId="12">#REF!</definedName>
    <definedName name="SANITASI" localSheetId="12">#REF!</definedName>
    <definedName name="SISA" localSheetId="12">#REF!</definedName>
    <definedName name="SPL.III_BDK_20" localSheetId="12">#REF!</definedName>
    <definedName name="SPL.III_BDK_30" localSheetId="12">#REF!</definedName>
    <definedName name="SPL.III_PC" localSheetId="12">#REF!</definedName>
    <definedName name="SPL.IV_10X20" localSheetId="12">#REF!</definedName>
    <definedName name="SPL.IV_PORSEL" localSheetId="12">#REF!</definedName>
    <definedName name="SPL.V" localSheetId="12">#REF!</definedName>
    <definedName name="SPL.VIA" localSheetId="12">#REF!</definedName>
    <definedName name="SPL.VII_I" localSheetId="12">#REF!</definedName>
    <definedName name="SPL.VII_II" localSheetId="12">#REF!</definedName>
    <definedName name="SPL.VIII_ETER" localSheetId="12">#REF!</definedName>
    <definedName name="SPL.VIII_GAM" localSheetId="12">#REF!</definedName>
    <definedName name="SPL.VIII_TEAK" localSheetId="12">#REF!</definedName>
    <definedName name="SPL.VIII_TRIP" localSheetId="12">#REF!</definedName>
    <definedName name="SPL.X" localSheetId="12">#REF!</definedName>
    <definedName name="SPRAYER" localSheetId="12">#REF!</definedName>
    <definedName name="ss" localSheetId="12" hidden="1">#REF!</definedName>
    <definedName name="ssss" localSheetId="12">#REF!</definedName>
    <definedName name="STONECRUSHER" localSheetId="12">#REF!</definedName>
    <definedName name="T_1" localSheetId="12">#REF!</definedName>
    <definedName name="T_2" localSheetId="12">#REF!</definedName>
    <definedName name="Tabel" localSheetId="12">#REF!</definedName>
    <definedName name="Tabel_1" localSheetId="12">#REF!</definedName>
    <definedName name="tabel1" localSheetId="12">#REF!</definedName>
    <definedName name="TAMPER" localSheetId="12">#REF!</definedName>
    <definedName name="TANAH" localSheetId="12">#REF!</definedName>
    <definedName name="TANDEMROLLER" localSheetId="12">#REF!</definedName>
    <definedName name="TAS" localSheetId="12">#REF!</definedName>
    <definedName name="TEGEL" localSheetId="12">#REF!</definedName>
    <definedName name="THREEWHEELROLLER" localSheetId="12">#REF!</definedName>
    <definedName name="TIREROLLER" localSheetId="12">#REF!</definedName>
    <definedName name="tot" localSheetId="12">#REF!</definedName>
    <definedName name="TOTAL" localSheetId="12">#REF!</definedName>
    <definedName name="TRACKLOADER" localSheetId="12">#REF!</definedName>
    <definedName name="URAIAN323L" localSheetId="12">#REF!</definedName>
    <definedName name="URAIAN611" localSheetId="12">#REF!</definedName>
    <definedName name="URAIAN612" localSheetId="12">#REF!</definedName>
    <definedName name="URAIAN621" localSheetId="12">#REF!</definedName>
    <definedName name="URAIAN622" localSheetId="12">#REF!</definedName>
    <definedName name="URAIAN623" localSheetId="12">#REF!</definedName>
    <definedName name="URAIAN631" localSheetId="12">#REF!</definedName>
    <definedName name="URAIAN632" localSheetId="12">#REF!</definedName>
    <definedName name="URAIAN633" localSheetId="12">#REF!</definedName>
    <definedName name="URAIAN634" localSheetId="12">#REF!</definedName>
    <definedName name="URAIAN635" localSheetId="12">#REF!</definedName>
    <definedName name="URAIAN635A" localSheetId="12">#REF!</definedName>
    <definedName name="URAIAN636" localSheetId="12">#REF!</definedName>
    <definedName name="URAIAN641L" localSheetId="12">#REF!</definedName>
    <definedName name="URAIAN642" localSheetId="12">#REF!</definedName>
    <definedName name="URAIAN65" localSheetId="12">#REF!</definedName>
    <definedName name="URAIAN66PERATA" localSheetId="12">#REF!</definedName>
    <definedName name="URAIAN66PERMUKAAN" localSheetId="12">#REF!</definedName>
    <definedName name="URAIAN7101" localSheetId="12">#REF!</definedName>
    <definedName name="URAIAN7102" localSheetId="12">#REF!</definedName>
    <definedName name="URAIAN7103" localSheetId="12">#REF!</definedName>
    <definedName name="URAIAN711" localSheetId="12">#REF!</definedName>
    <definedName name="URAIAN712" localSheetId="12">#REF!</definedName>
    <definedName name="URAIAN713" localSheetId="12">#REF!</definedName>
    <definedName name="URAIAN714" localSheetId="12">#REF!</definedName>
    <definedName name="URAIAN715" localSheetId="12">#REF!</definedName>
    <definedName name="URAIAN716" localSheetId="12">#REF!</definedName>
    <definedName name="URAIAN717" localSheetId="12">#REF!</definedName>
    <definedName name="URAIAN718" localSheetId="12">#REF!</definedName>
    <definedName name="URAIAN721" localSheetId="12">#REF!</definedName>
    <definedName name="URAIAN731" localSheetId="12">#REF!</definedName>
    <definedName name="URAIAN732" localSheetId="12">#REF!</definedName>
    <definedName name="URAIAN733" localSheetId="12">#REF!</definedName>
    <definedName name="URAIAN734" localSheetId="12">#REF!</definedName>
    <definedName name="URAIAN735" localSheetId="12">#REF!</definedName>
    <definedName name="URAIAN744" localSheetId="12">#REF!</definedName>
    <definedName name="URAIAN745" localSheetId="12">#REF!</definedName>
    <definedName name="URAIAN7610" localSheetId="12">#REF!</definedName>
    <definedName name="URAIAN7612a" localSheetId="12">#REF!</definedName>
    <definedName name="URAIAN7612b" localSheetId="12">#REF!</definedName>
    <definedName name="URAIAN7612c" localSheetId="12">#REF!</definedName>
    <definedName name="URAIAN7613a" localSheetId="12">#REF!</definedName>
    <definedName name="URAIAN7613b" localSheetId="12">#REF!</definedName>
    <definedName name="URAIAN7613c" localSheetId="12">#REF!</definedName>
    <definedName name="URAIAN7614a" localSheetId="12">#REF!</definedName>
    <definedName name="URAIAN7614b" localSheetId="12">#REF!</definedName>
    <definedName name="URAIAN7614d" localSheetId="12">#REF!</definedName>
    <definedName name="URAIAN7614e" localSheetId="12">#REF!</definedName>
    <definedName name="URAIAN7618" localSheetId="12">#REF!</definedName>
    <definedName name="URAIAN7619" localSheetId="12">#REF!</definedName>
    <definedName name="URAIAN768" localSheetId="12">#REF!</definedName>
    <definedName name="URAIAN769" localSheetId="12">#REF!</definedName>
    <definedName name="URAIAN76x" localSheetId="12">#REF!</definedName>
    <definedName name="URAIAN771a" localSheetId="12">#REF!</definedName>
    <definedName name="URAIAN771b" localSheetId="12">#REF!</definedName>
    <definedName name="URAIAN771c" localSheetId="12">#REF!</definedName>
    <definedName name="URAIAN771d" localSheetId="12">#REF!</definedName>
    <definedName name="URAIAN772a" localSheetId="12">#REF!</definedName>
    <definedName name="URAIAN772b" localSheetId="12">#REF!</definedName>
    <definedName name="URAIAN772c" localSheetId="12">#REF!</definedName>
    <definedName name="URAIAN772d" localSheetId="12">#REF!</definedName>
    <definedName name="URAIAN79manual" localSheetId="12">#REF!</definedName>
    <definedName name="URAIAN79mekanis" localSheetId="12">#REF!</definedName>
    <definedName name="URAIAN811" localSheetId="12">#REF!</definedName>
    <definedName name="URAIAN812" localSheetId="12">#REF!</definedName>
    <definedName name="URAIAN813" localSheetId="12">#REF!</definedName>
    <definedName name="URAIAN814" localSheetId="12">#REF!</definedName>
    <definedName name="URAIAN815" localSheetId="12">#REF!</definedName>
    <definedName name="URAIAN817" localSheetId="12">#REF!</definedName>
    <definedName name="URAIAN818" localSheetId="12">#REF!</definedName>
    <definedName name="URAIAN819" localSheetId="12">#REF!</definedName>
    <definedName name="URAIAN82" localSheetId="12">#REF!</definedName>
    <definedName name="Uraian841" localSheetId="12">#REF!</definedName>
    <definedName name="Uraian8410" localSheetId="12">#REF!</definedName>
    <definedName name="Uraian842" localSheetId="12">#REF!</definedName>
    <definedName name="Uraian844" localSheetId="12">#REF!</definedName>
    <definedName name="Uraian845" localSheetId="12">#REF!</definedName>
    <definedName name="Uraian846" localSheetId="12">#REF!</definedName>
    <definedName name="Uraian847" localSheetId="12">#REF!</definedName>
    <definedName name="URAIANGEOTEKSTIL" localSheetId="12">#REF!</definedName>
    <definedName name="UTAIAN7614c" localSheetId="12">#REF!</definedName>
    <definedName name="VIBROROLLER" localSheetId="12">#REF!</definedName>
    <definedName name="voeg" localSheetId="12">#REF!</definedName>
    <definedName name="WATERPUMP" localSheetId="12">#REF!</definedName>
    <definedName name="WATERTANKER" localSheetId="12">#REF!</definedName>
    <definedName name="WHEELLOADER" localSheetId="12">#REF!</definedName>
    <definedName name="Z" localSheetId="12">#REF!</definedName>
    <definedName name="_xlnm.Print_Area" localSheetId="13">'titik 1'!$A$1:$G$16</definedName>
    <definedName name="\X" localSheetId="25">#REF!</definedName>
    <definedName name="____________LLL01" localSheetId="25">#REF!</definedName>
    <definedName name="____________LLL02" localSheetId="25">#REF!</definedName>
    <definedName name="____________LLL03" localSheetId="25">#REF!</definedName>
    <definedName name="____________LLL04" localSheetId="25">#REF!</definedName>
    <definedName name="____________LLL05" localSheetId="25">#REF!</definedName>
    <definedName name="____________LLL06" localSheetId="25">#REF!</definedName>
    <definedName name="____________LLL07" localSheetId="25">#REF!</definedName>
    <definedName name="____________LLL08" localSheetId="25">#REF!</definedName>
    <definedName name="____________LLL09" localSheetId="25">#REF!</definedName>
    <definedName name="____________LLL10" localSheetId="25">#REF!</definedName>
    <definedName name="____________LLL11" localSheetId="25">#REF!</definedName>
    <definedName name="____________MMM01" localSheetId="25">#REF!</definedName>
    <definedName name="____________MMM02" localSheetId="25">#REF!</definedName>
    <definedName name="____________MMM03" localSheetId="25">#REF!</definedName>
    <definedName name="____________MMM04" localSheetId="25">#REF!</definedName>
    <definedName name="____________MMM05" localSheetId="25">#REF!</definedName>
    <definedName name="____________MMM06" localSheetId="25">#REF!</definedName>
    <definedName name="____________MMM07" localSheetId="25">#REF!</definedName>
    <definedName name="____________MMM08" localSheetId="25">#REF!</definedName>
    <definedName name="____________MMM09" localSheetId="25">#REF!</definedName>
    <definedName name="____________MMM10" localSheetId="25">#REF!</definedName>
    <definedName name="____________MMM11" localSheetId="25">#REF!</definedName>
    <definedName name="____________MMM12" localSheetId="25">#REF!</definedName>
    <definedName name="____________MMM13" localSheetId="25">#REF!</definedName>
    <definedName name="____________MMM14" localSheetId="25">#REF!</definedName>
    <definedName name="____________MMM15" localSheetId="25">#REF!</definedName>
    <definedName name="____________MMM16" localSheetId="25">#REF!</definedName>
    <definedName name="____________MMM17" localSheetId="25">#REF!</definedName>
    <definedName name="____________MMM18" localSheetId="25">#REF!</definedName>
    <definedName name="____________MMM19" localSheetId="25">#REF!</definedName>
    <definedName name="____________MMM20" localSheetId="25">#REF!</definedName>
    <definedName name="____________MMM21" localSheetId="25">#REF!</definedName>
    <definedName name="____________MMM22" localSheetId="25">#REF!</definedName>
    <definedName name="____________MMM23" localSheetId="25">#REF!</definedName>
    <definedName name="____________MMM24" localSheetId="25">#REF!</definedName>
    <definedName name="____________MMM25" localSheetId="25">#REF!</definedName>
    <definedName name="____________MMM26" localSheetId="25">#REF!</definedName>
    <definedName name="____________MMM27" localSheetId="25">#REF!</definedName>
    <definedName name="____________MMM28" localSheetId="25">#REF!</definedName>
    <definedName name="____________MMM29" localSheetId="25">#REF!</definedName>
    <definedName name="____________MMM30" localSheetId="25">#REF!</definedName>
    <definedName name="____________MMM31" localSheetId="25">#REF!</definedName>
    <definedName name="____________MMM32" localSheetId="25">#REF!</definedName>
    <definedName name="____________MMM33" localSheetId="25">#REF!</definedName>
    <definedName name="____________MMM34" localSheetId="25">#REF!</definedName>
    <definedName name="____________MMM35" localSheetId="25">#REF!</definedName>
    <definedName name="____________MMM36" localSheetId="25">#REF!</definedName>
    <definedName name="____________MMM37" localSheetId="25">#REF!</definedName>
    <definedName name="____________MMM38" localSheetId="25">#REF!</definedName>
    <definedName name="____________MMM39" localSheetId="25">#REF!</definedName>
    <definedName name="____________MMM40" localSheetId="25">#REF!</definedName>
    <definedName name="____________MMM41" localSheetId="25">#REF!</definedName>
    <definedName name="____________MMM411" localSheetId="25">#REF!</definedName>
    <definedName name="____________MMM42" localSheetId="25">#REF!</definedName>
    <definedName name="____________MMM43" localSheetId="25">#REF!</definedName>
    <definedName name="____________MMM44" localSheetId="25">#REF!</definedName>
    <definedName name="____________MMM45" localSheetId="25">#REF!</definedName>
    <definedName name="____________MMM46" localSheetId="25">#REF!</definedName>
    <definedName name="____________MMM47" localSheetId="25">#REF!</definedName>
    <definedName name="____________MMM48" localSheetId="25">#REF!</definedName>
    <definedName name="____________MMM49" localSheetId="25">#REF!</definedName>
    <definedName name="____________MMM50" localSheetId="25">#REF!</definedName>
    <definedName name="____________MMM51" localSheetId="25">#REF!</definedName>
    <definedName name="____________MMM52" localSheetId="25">#REF!</definedName>
    <definedName name="____________MMM53" localSheetId="25">#REF!</definedName>
    <definedName name="____________MMM54" localSheetId="25">#REF!</definedName>
    <definedName name="___________LLL01" localSheetId="25">#REF!</definedName>
    <definedName name="___________LLL02" localSheetId="25">#REF!</definedName>
    <definedName name="___________LLL03" localSheetId="25">#REF!</definedName>
    <definedName name="___________LLL04" localSheetId="25">#REF!</definedName>
    <definedName name="___________LLL05" localSheetId="25">#REF!</definedName>
    <definedName name="___________LLL06" localSheetId="25">#REF!</definedName>
    <definedName name="___________LLL07" localSheetId="25">#REF!</definedName>
    <definedName name="___________LLL08" localSheetId="25">#REF!</definedName>
    <definedName name="___________LLL09" localSheetId="25">#REF!</definedName>
    <definedName name="___________LLL10" localSheetId="25">#REF!</definedName>
    <definedName name="___________LLL11" localSheetId="25">#REF!</definedName>
    <definedName name="___________MMM01" localSheetId="25">#REF!</definedName>
    <definedName name="___________MMM02" localSheetId="25">#REF!</definedName>
    <definedName name="___________MMM03" localSheetId="25">#REF!</definedName>
    <definedName name="___________MMM04" localSheetId="25">#REF!</definedName>
    <definedName name="___________MMM05" localSheetId="25">#REF!</definedName>
    <definedName name="___________MMM06" localSheetId="25">#REF!</definedName>
    <definedName name="___________MMM07" localSheetId="25">#REF!</definedName>
    <definedName name="___________MMM08" localSheetId="25">#REF!</definedName>
    <definedName name="___________MMM09" localSheetId="25">#REF!</definedName>
    <definedName name="___________MMM10" localSheetId="25">#REF!</definedName>
    <definedName name="___________MMM11" localSheetId="25">#REF!</definedName>
    <definedName name="___________MMM12" localSheetId="25">#REF!</definedName>
    <definedName name="___________MMM13" localSheetId="25">#REF!</definedName>
    <definedName name="___________MMM14" localSheetId="25">#REF!</definedName>
    <definedName name="___________MMM15" localSheetId="25">#REF!</definedName>
    <definedName name="___________MMM16" localSheetId="25">#REF!</definedName>
    <definedName name="___________MMM17" localSheetId="25">#REF!</definedName>
    <definedName name="___________MMM18" localSheetId="25">#REF!</definedName>
    <definedName name="___________MMM19" localSheetId="25">#REF!</definedName>
    <definedName name="___________MMM20" localSheetId="25">#REF!</definedName>
    <definedName name="___________MMM21" localSheetId="25">#REF!</definedName>
    <definedName name="___________MMM22" localSheetId="25">#REF!</definedName>
    <definedName name="___________MMM23" localSheetId="25">#REF!</definedName>
    <definedName name="___________MMM24" localSheetId="25">#REF!</definedName>
    <definedName name="___________MMM25" localSheetId="25">#REF!</definedName>
    <definedName name="___________MMM26" localSheetId="25">#REF!</definedName>
    <definedName name="___________MMM27" localSheetId="25">#REF!</definedName>
    <definedName name="___________MMM28" localSheetId="25">#REF!</definedName>
    <definedName name="___________MMM29" localSheetId="25">#REF!</definedName>
    <definedName name="___________MMM30" localSheetId="25">#REF!</definedName>
    <definedName name="___________MMM31" localSheetId="25">#REF!</definedName>
    <definedName name="___________MMM32" localSheetId="25">#REF!</definedName>
    <definedName name="___________MMM33" localSheetId="25">#REF!</definedName>
    <definedName name="___________MMM34" localSheetId="25">#REF!</definedName>
    <definedName name="___________MMM35" localSheetId="25">#REF!</definedName>
    <definedName name="___________MMM36" localSheetId="25">#REF!</definedName>
    <definedName name="___________MMM37" localSheetId="25">#REF!</definedName>
    <definedName name="___________MMM38" localSheetId="25">#REF!</definedName>
    <definedName name="___________MMM39" localSheetId="25">#REF!</definedName>
    <definedName name="___________MMM40" localSheetId="25">#REF!</definedName>
    <definedName name="___________MMM41" localSheetId="25">#REF!</definedName>
    <definedName name="___________MMM411" localSheetId="25">#REF!</definedName>
    <definedName name="___________MMM42" localSheetId="25">#REF!</definedName>
    <definedName name="___________MMM43" localSheetId="25">#REF!</definedName>
    <definedName name="___________MMM44" localSheetId="25">#REF!</definedName>
    <definedName name="___________MMM45" localSheetId="25">#REF!</definedName>
    <definedName name="___________MMM46" localSheetId="25">#REF!</definedName>
    <definedName name="___________MMM47" localSheetId="25">#REF!</definedName>
    <definedName name="___________MMM48" localSheetId="25">#REF!</definedName>
    <definedName name="___________MMM49" localSheetId="25">#REF!</definedName>
    <definedName name="___________MMM50" localSheetId="25">#REF!</definedName>
    <definedName name="___________MMM51" localSheetId="25">#REF!</definedName>
    <definedName name="___________MMM52" localSheetId="25">#REF!</definedName>
    <definedName name="___________MMM53" localSheetId="25">#REF!</definedName>
    <definedName name="___________MMM54" localSheetId="25">#REF!</definedName>
    <definedName name="__________LLL01" localSheetId="25">#REF!</definedName>
    <definedName name="__________LLL02" localSheetId="25">#REF!</definedName>
    <definedName name="__________LLL03" localSheetId="25">#REF!</definedName>
    <definedName name="__________LLL04" localSheetId="25">#REF!</definedName>
    <definedName name="__________LLL05" localSheetId="25">#REF!</definedName>
    <definedName name="__________LLL06" localSheetId="25">#REF!</definedName>
    <definedName name="__________LLL07" localSheetId="25">#REF!</definedName>
    <definedName name="__________LLL08" localSheetId="25">#REF!</definedName>
    <definedName name="__________LLL09" localSheetId="25">#REF!</definedName>
    <definedName name="__________LLL10" localSheetId="25">#REF!</definedName>
    <definedName name="__________LLL11" localSheetId="25">#REF!</definedName>
    <definedName name="__________MMM01" localSheetId="25">#REF!</definedName>
    <definedName name="__________MMM02" localSheetId="25">#REF!</definedName>
    <definedName name="__________MMM03" localSheetId="25">#REF!</definedName>
    <definedName name="__________MMM04" localSheetId="25">#REF!</definedName>
    <definedName name="__________MMM05" localSheetId="25">#REF!</definedName>
    <definedName name="__________MMM06" localSheetId="25">#REF!</definedName>
    <definedName name="__________MMM07" localSheetId="25">#REF!</definedName>
    <definedName name="__________MMM08" localSheetId="25">#REF!</definedName>
    <definedName name="__________MMM09" localSheetId="25">#REF!</definedName>
    <definedName name="__________MMM10" localSheetId="25">#REF!</definedName>
    <definedName name="__________MMM11" localSheetId="25">#REF!</definedName>
    <definedName name="__________MMM12" localSheetId="25">#REF!</definedName>
    <definedName name="__________MMM13" localSheetId="25">#REF!</definedName>
    <definedName name="__________MMM14" localSheetId="25">#REF!</definedName>
    <definedName name="__________MMM15" localSheetId="25">#REF!</definedName>
    <definedName name="__________MMM16" localSheetId="25">#REF!</definedName>
    <definedName name="__________MMM17" localSheetId="25">#REF!</definedName>
    <definedName name="__________MMM18" localSheetId="25">#REF!</definedName>
    <definedName name="__________MMM19" localSheetId="25">#REF!</definedName>
    <definedName name="__________MMM20" localSheetId="25">#REF!</definedName>
    <definedName name="__________MMM21" localSheetId="25">#REF!</definedName>
    <definedName name="__________MMM22" localSheetId="25">#REF!</definedName>
    <definedName name="__________MMM23" localSheetId="25">#REF!</definedName>
    <definedName name="__________MMM24" localSheetId="25">#REF!</definedName>
    <definedName name="__________MMM25" localSheetId="25">#REF!</definedName>
    <definedName name="__________MMM26" localSheetId="25">#REF!</definedName>
    <definedName name="__________MMM27" localSheetId="25">#REF!</definedName>
    <definedName name="__________MMM28" localSheetId="25">#REF!</definedName>
    <definedName name="__________MMM29" localSheetId="25">#REF!</definedName>
    <definedName name="__________MMM30" localSheetId="25">#REF!</definedName>
    <definedName name="__________MMM31" localSheetId="25">#REF!</definedName>
    <definedName name="__________MMM32" localSheetId="25">#REF!</definedName>
    <definedName name="__________MMM33" localSheetId="25">#REF!</definedName>
    <definedName name="__________MMM34" localSheetId="25">#REF!</definedName>
    <definedName name="__________MMM35" localSheetId="25">#REF!</definedName>
    <definedName name="__________MMM36" localSheetId="25">#REF!</definedName>
    <definedName name="__________MMM37" localSheetId="25">#REF!</definedName>
    <definedName name="__________MMM38" localSheetId="25">#REF!</definedName>
    <definedName name="__________MMM39" localSheetId="25">#REF!</definedName>
    <definedName name="__________MMM40" localSheetId="25">#REF!</definedName>
    <definedName name="__________MMM41" localSheetId="25">#REF!</definedName>
    <definedName name="__________MMM411" localSheetId="25">#REF!</definedName>
    <definedName name="__________MMM42" localSheetId="25">#REF!</definedName>
    <definedName name="__________MMM43" localSheetId="25">#REF!</definedName>
    <definedName name="__________MMM44" localSheetId="25">#REF!</definedName>
    <definedName name="__________MMM45" localSheetId="25">#REF!</definedName>
    <definedName name="__________MMM46" localSheetId="25">#REF!</definedName>
    <definedName name="__________MMM47" localSheetId="25">#REF!</definedName>
    <definedName name="__________MMM48" localSheetId="25">#REF!</definedName>
    <definedName name="__________MMM49" localSheetId="25">#REF!</definedName>
    <definedName name="__________MMM50" localSheetId="25">#REF!</definedName>
    <definedName name="__________MMM51" localSheetId="25">#REF!</definedName>
    <definedName name="__________MMM52" localSheetId="25">#REF!</definedName>
    <definedName name="__________MMM53" localSheetId="25">#REF!</definedName>
    <definedName name="__________MMM54" localSheetId="25">#REF!</definedName>
    <definedName name="_________LLL01" localSheetId="25">#REF!</definedName>
    <definedName name="_________LLL02" localSheetId="25">#REF!</definedName>
    <definedName name="_________LLL03" localSheetId="25">#REF!</definedName>
    <definedName name="_________LLL04" localSheetId="25">#REF!</definedName>
    <definedName name="_________LLL05" localSheetId="25">#REF!</definedName>
    <definedName name="_________LLL06" localSheetId="25">#REF!</definedName>
    <definedName name="_________LLL07" localSheetId="25">#REF!</definedName>
    <definedName name="_________LLL08" localSheetId="25">#REF!</definedName>
    <definedName name="_________LLL09" localSheetId="25">#REF!</definedName>
    <definedName name="_________LLL10" localSheetId="25">#REF!</definedName>
    <definedName name="_________LLL11" localSheetId="25">#REF!</definedName>
    <definedName name="_________MMM01" localSheetId="25">#REF!</definedName>
    <definedName name="_________MMM02" localSheetId="25">#REF!</definedName>
    <definedName name="_________MMM03" localSheetId="25">#REF!</definedName>
    <definedName name="_________MMM04" localSheetId="25">#REF!</definedName>
    <definedName name="_________MMM05" localSheetId="25">#REF!</definedName>
    <definedName name="_________MMM06" localSheetId="25">#REF!</definedName>
    <definedName name="_________MMM07" localSheetId="25">#REF!</definedName>
    <definedName name="_________MMM08" localSheetId="25">#REF!</definedName>
    <definedName name="_________MMM09" localSheetId="25">#REF!</definedName>
    <definedName name="_________MMM10" localSheetId="25">#REF!</definedName>
    <definedName name="_________MMM11" localSheetId="25">#REF!</definedName>
    <definedName name="_________MMM12" localSheetId="25">#REF!</definedName>
    <definedName name="_________MMM13" localSheetId="25">#REF!</definedName>
    <definedName name="_________MMM14" localSheetId="25">#REF!</definedName>
    <definedName name="_________MMM15" localSheetId="25">#REF!</definedName>
    <definedName name="_________MMM16" localSheetId="25">#REF!</definedName>
    <definedName name="_________MMM17" localSheetId="25">#REF!</definedName>
    <definedName name="_________MMM18" localSheetId="25">#REF!</definedName>
    <definedName name="_________MMM19" localSheetId="25">#REF!</definedName>
    <definedName name="_________MMM20" localSheetId="25">#REF!</definedName>
    <definedName name="_________MMM21" localSheetId="25">#REF!</definedName>
    <definedName name="_________MMM22" localSheetId="25">#REF!</definedName>
    <definedName name="_________MMM23" localSheetId="25">#REF!</definedName>
    <definedName name="_________MMM24" localSheetId="25">#REF!</definedName>
    <definedName name="_________MMM25" localSheetId="25">#REF!</definedName>
    <definedName name="_________MMM26" localSheetId="25">#REF!</definedName>
    <definedName name="_________MMM27" localSheetId="25">#REF!</definedName>
    <definedName name="_________MMM28" localSheetId="25">#REF!</definedName>
    <definedName name="_________MMM29" localSheetId="25">#REF!</definedName>
    <definedName name="_________MMM30" localSheetId="25">#REF!</definedName>
    <definedName name="_________MMM31" localSheetId="25">#REF!</definedName>
    <definedName name="_________MMM32" localSheetId="25">#REF!</definedName>
    <definedName name="_________MMM33" localSheetId="25">#REF!</definedName>
    <definedName name="_________MMM34" localSheetId="25">#REF!</definedName>
    <definedName name="_________MMM35" localSheetId="25">#REF!</definedName>
    <definedName name="_________MMM36" localSheetId="25">#REF!</definedName>
    <definedName name="_________MMM37" localSheetId="25">#REF!</definedName>
    <definedName name="_________MMM38" localSheetId="25">#REF!</definedName>
    <definedName name="_________MMM39" localSheetId="25">#REF!</definedName>
    <definedName name="_________MMM40" localSheetId="25">#REF!</definedName>
    <definedName name="_________MMM41" localSheetId="25">#REF!</definedName>
    <definedName name="_________MMM411" localSheetId="25">#REF!</definedName>
    <definedName name="_________MMM42" localSheetId="25">#REF!</definedName>
    <definedName name="_________MMM43" localSheetId="25">#REF!</definedName>
    <definedName name="_________MMM44" localSheetId="25">#REF!</definedName>
    <definedName name="_________MMM45" localSheetId="25">#REF!</definedName>
    <definedName name="_________MMM46" localSheetId="25">#REF!</definedName>
    <definedName name="_________MMM47" localSheetId="25">#REF!</definedName>
    <definedName name="_________MMM48" localSheetId="25">#REF!</definedName>
    <definedName name="_________MMM49" localSheetId="25">#REF!</definedName>
    <definedName name="_________MMM50" localSheetId="25">#REF!</definedName>
    <definedName name="_________MMM51" localSheetId="25">#REF!</definedName>
    <definedName name="_________MMM52" localSheetId="25">#REF!</definedName>
    <definedName name="_________MMM53" localSheetId="25">#REF!</definedName>
    <definedName name="_________MMM54" localSheetId="25">#REF!</definedName>
    <definedName name="________LLL01" localSheetId="25">#REF!</definedName>
    <definedName name="________LLL02" localSheetId="25">#REF!</definedName>
    <definedName name="________LLL03" localSheetId="25">#REF!</definedName>
    <definedName name="________LLL04" localSheetId="25">#REF!</definedName>
    <definedName name="________LLL05" localSheetId="25">#REF!</definedName>
    <definedName name="________LLL06" localSheetId="25">#REF!</definedName>
    <definedName name="________LLL07" localSheetId="25">#REF!</definedName>
    <definedName name="________LLL08" localSheetId="25">#REF!</definedName>
    <definedName name="________LLL09" localSheetId="25">#REF!</definedName>
    <definedName name="________LLL10" localSheetId="25">#REF!</definedName>
    <definedName name="________LLL11" localSheetId="25">#REF!</definedName>
    <definedName name="________MMM01" localSheetId="25">#REF!</definedName>
    <definedName name="________MMM02" localSheetId="25">#REF!</definedName>
    <definedName name="________MMM03" localSheetId="25">#REF!</definedName>
    <definedName name="________MMM04" localSheetId="25">#REF!</definedName>
    <definedName name="________MMM05" localSheetId="25">#REF!</definedName>
    <definedName name="________MMM06" localSheetId="25">#REF!</definedName>
    <definedName name="________MMM07" localSheetId="25">#REF!</definedName>
    <definedName name="________MMM08" localSheetId="25">#REF!</definedName>
    <definedName name="________MMM09" localSheetId="25">#REF!</definedName>
    <definedName name="________MMM10" localSheetId="25">#REF!</definedName>
    <definedName name="________MMM11" localSheetId="25">#REF!</definedName>
    <definedName name="________MMM12" localSheetId="25">#REF!</definedName>
    <definedName name="________MMM13" localSheetId="25">#REF!</definedName>
    <definedName name="________MMM14" localSheetId="25">#REF!</definedName>
    <definedName name="________MMM15" localSheetId="25">#REF!</definedName>
    <definedName name="________MMM16" localSheetId="25">#REF!</definedName>
    <definedName name="________MMM17" localSheetId="25">#REF!</definedName>
    <definedName name="________MMM18" localSheetId="25">#REF!</definedName>
    <definedName name="________MMM19" localSheetId="25">#REF!</definedName>
    <definedName name="________MMM20" localSheetId="25">#REF!</definedName>
    <definedName name="________MMM21" localSheetId="25">#REF!</definedName>
    <definedName name="________MMM22" localSheetId="25">#REF!</definedName>
    <definedName name="________MMM23" localSheetId="25">#REF!</definedName>
    <definedName name="________MMM24" localSheetId="25">#REF!</definedName>
    <definedName name="________MMM25" localSheetId="25">#REF!</definedName>
    <definedName name="________MMM26" localSheetId="25">#REF!</definedName>
    <definedName name="________MMM27" localSheetId="25">#REF!</definedName>
    <definedName name="________MMM28" localSheetId="25">#REF!</definedName>
    <definedName name="________MMM29" localSheetId="25">#REF!</definedName>
    <definedName name="________MMM30" localSheetId="25">#REF!</definedName>
    <definedName name="________MMM31" localSheetId="25">#REF!</definedName>
    <definedName name="________MMM32" localSheetId="25">#REF!</definedName>
    <definedName name="________MMM33" localSheetId="25">#REF!</definedName>
    <definedName name="________MMM34" localSheetId="25">#REF!</definedName>
    <definedName name="________MMM35" localSheetId="25">#REF!</definedName>
    <definedName name="________MMM36" localSheetId="25">#REF!</definedName>
    <definedName name="________MMM37" localSheetId="25">#REF!</definedName>
    <definedName name="________MMM38" localSheetId="25">#REF!</definedName>
    <definedName name="________MMM39" localSheetId="25">#REF!</definedName>
    <definedName name="________MMM40" localSheetId="25">#REF!</definedName>
    <definedName name="________MMM41" localSheetId="25">#REF!</definedName>
    <definedName name="________MMM411" localSheetId="25">#REF!</definedName>
    <definedName name="________MMM42" localSheetId="25">#REF!</definedName>
    <definedName name="________MMM43" localSheetId="25">#REF!</definedName>
    <definedName name="________MMM44" localSheetId="25">#REF!</definedName>
    <definedName name="________MMM45" localSheetId="25">#REF!</definedName>
    <definedName name="________MMM46" localSheetId="25">#REF!</definedName>
    <definedName name="________MMM47" localSheetId="25">#REF!</definedName>
    <definedName name="________MMM48" localSheetId="25">#REF!</definedName>
    <definedName name="________MMM49" localSheetId="25">#REF!</definedName>
    <definedName name="________MMM50" localSheetId="25">#REF!</definedName>
    <definedName name="________MMM51" localSheetId="25">#REF!</definedName>
    <definedName name="________MMM52" localSheetId="25">#REF!</definedName>
    <definedName name="________MMM53" localSheetId="25">#REF!</definedName>
    <definedName name="________MMM54" localSheetId="25">#REF!</definedName>
    <definedName name="_______LLL01" localSheetId="25">#REF!</definedName>
    <definedName name="_______LLL02" localSheetId="25">#REF!</definedName>
    <definedName name="_______LLL03" localSheetId="25">#REF!</definedName>
    <definedName name="_______LLL04" localSheetId="25">#REF!</definedName>
    <definedName name="_______LLL05" localSheetId="25">#REF!</definedName>
    <definedName name="_______LLL06" localSheetId="25">#REF!</definedName>
    <definedName name="_______LLL07" localSheetId="25">#REF!</definedName>
    <definedName name="_______LLL08" localSheetId="25">#REF!</definedName>
    <definedName name="_______LLL09" localSheetId="25">#REF!</definedName>
    <definedName name="_______LLL10" localSheetId="25">#REF!</definedName>
    <definedName name="_______LLL11" localSheetId="25">#REF!</definedName>
    <definedName name="_______MMM01" localSheetId="25">#REF!</definedName>
    <definedName name="_______MMM02" localSheetId="25">#REF!</definedName>
    <definedName name="_______MMM03" localSheetId="25">#REF!</definedName>
    <definedName name="_______MMM04" localSheetId="25">#REF!</definedName>
    <definedName name="_______MMM05" localSheetId="25">#REF!</definedName>
    <definedName name="_______MMM06" localSheetId="25">#REF!</definedName>
    <definedName name="_______MMM07" localSheetId="25">#REF!</definedName>
    <definedName name="_______MMM08" localSheetId="25">#REF!</definedName>
    <definedName name="_______MMM09" localSheetId="25">#REF!</definedName>
    <definedName name="_______MMM10" localSheetId="25">#REF!</definedName>
    <definedName name="_______MMM11" localSheetId="25">#REF!</definedName>
    <definedName name="_______MMM12" localSheetId="25">#REF!</definedName>
    <definedName name="_______MMM13" localSheetId="25">#REF!</definedName>
    <definedName name="_______MMM14" localSheetId="25">#REF!</definedName>
    <definedName name="_______MMM15" localSheetId="25">#REF!</definedName>
    <definedName name="_______MMM16" localSheetId="25">#REF!</definedName>
    <definedName name="_______MMM17" localSheetId="25">#REF!</definedName>
    <definedName name="_______MMM18" localSheetId="25">#REF!</definedName>
    <definedName name="_______MMM19" localSheetId="25">#REF!</definedName>
    <definedName name="_______MMM20" localSheetId="25">#REF!</definedName>
    <definedName name="_______MMM21" localSheetId="25">#REF!</definedName>
    <definedName name="_______MMM22" localSheetId="25">#REF!</definedName>
    <definedName name="_______MMM23" localSheetId="25">#REF!</definedName>
    <definedName name="_______MMM24" localSheetId="25">#REF!</definedName>
    <definedName name="_______MMM25" localSheetId="25">#REF!</definedName>
    <definedName name="_______MMM26" localSheetId="25">#REF!</definedName>
    <definedName name="_______MMM27" localSheetId="25">#REF!</definedName>
    <definedName name="_______MMM28" localSheetId="25">#REF!</definedName>
    <definedName name="_______MMM29" localSheetId="25">#REF!</definedName>
    <definedName name="_______MMM30" localSheetId="25">#REF!</definedName>
    <definedName name="_______MMM31" localSheetId="25">#REF!</definedName>
    <definedName name="_______MMM32" localSheetId="25">#REF!</definedName>
    <definedName name="_______MMM33" localSheetId="25">#REF!</definedName>
    <definedName name="_______MMM34" localSheetId="25">#REF!</definedName>
    <definedName name="_______MMM35" localSheetId="25">#REF!</definedName>
    <definedName name="_______MMM36" localSheetId="25">#REF!</definedName>
    <definedName name="_______MMM37" localSheetId="25">#REF!</definedName>
    <definedName name="_______MMM38" localSheetId="25">#REF!</definedName>
    <definedName name="_______MMM39" localSheetId="25">#REF!</definedName>
    <definedName name="_______MMM40" localSheetId="25">#REF!</definedName>
    <definedName name="_______MMM41" localSheetId="25">#REF!</definedName>
    <definedName name="_______MMM411" localSheetId="25">#REF!</definedName>
    <definedName name="_______MMM42" localSheetId="25">#REF!</definedName>
    <definedName name="_______MMM43" localSheetId="25">#REF!</definedName>
    <definedName name="_______MMM44" localSheetId="25">#REF!</definedName>
    <definedName name="_______MMM45" localSheetId="25">#REF!</definedName>
    <definedName name="_______MMM46" localSheetId="25">#REF!</definedName>
    <definedName name="_______MMM47" localSheetId="25">#REF!</definedName>
    <definedName name="_______MMM48" localSheetId="25">#REF!</definedName>
    <definedName name="_______MMM49" localSheetId="25">#REF!</definedName>
    <definedName name="_______MMM50" localSheetId="25">#REF!</definedName>
    <definedName name="_______MMM51" localSheetId="25">#REF!</definedName>
    <definedName name="_______MMM52" localSheetId="25">#REF!</definedName>
    <definedName name="_______MMM53" localSheetId="25">#REF!</definedName>
    <definedName name="_______MMM54" localSheetId="25">#REF!</definedName>
    <definedName name="______LLL01" localSheetId="25">#REF!</definedName>
    <definedName name="______LLL02" localSheetId="25">#REF!</definedName>
    <definedName name="______LLL03" localSheetId="25">#REF!</definedName>
    <definedName name="______LLL04" localSheetId="25">#REF!</definedName>
    <definedName name="______LLL05" localSheetId="25">#REF!</definedName>
    <definedName name="______LLL06" localSheetId="25">#REF!</definedName>
    <definedName name="______LLL07" localSheetId="25">#REF!</definedName>
    <definedName name="______LLL08" localSheetId="25">#REF!</definedName>
    <definedName name="______LLL09" localSheetId="25">#REF!</definedName>
    <definedName name="______LLL10" localSheetId="25">#REF!</definedName>
    <definedName name="______LLL11" localSheetId="25">#REF!</definedName>
    <definedName name="______MMM01" localSheetId="25">#REF!</definedName>
    <definedName name="______MMM02" localSheetId="25">#REF!</definedName>
    <definedName name="______MMM03" localSheetId="25">#REF!</definedName>
    <definedName name="______MMM04" localSheetId="25">#REF!</definedName>
    <definedName name="______MMM05" localSheetId="25">#REF!</definedName>
    <definedName name="______MMM06" localSheetId="25">#REF!</definedName>
    <definedName name="______MMM07" localSheetId="25">#REF!</definedName>
    <definedName name="______MMM08" localSheetId="25">#REF!</definedName>
    <definedName name="______MMM09" localSheetId="25">#REF!</definedName>
    <definedName name="______MMM10" localSheetId="25">#REF!</definedName>
    <definedName name="______MMM11" localSheetId="25">#REF!</definedName>
    <definedName name="______MMM12" localSheetId="25">#REF!</definedName>
    <definedName name="______MMM13" localSheetId="25">#REF!</definedName>
    <definedName name="______MMM14" localSheetId="25">#REF!</definedName>
    <definedName name="______MMM15" localSheetId="25">#REF!</definedName>
    <definedName name="______MMM16" localSheetId="25">#REF!</definedName>
    <definedName name="______MMM17" localSheetId="25">#REF!</definedName>
    <definedName name="______MMM18" localSheetId="25">#REF!</definedName>
    <definedName name="______MMM19" localSheetId="25">#REF!</definedName>
    <definedName name="______MMM20" localSheetId="25">#REF!</definedName>
    <definedName name="______MMM21" localSheetId="25">#REF!</definedName>
    <definedName name="______MMM22" localSheetId="25">#REF!</definedName>
    <definedName name="______MMM23" localSheetId="25">#REF!</definedName>
    <definedName name="______MMM24" localSheetId="25">#REF!</definedName>
    <definedName name="______MMM25" localSheetId="25">#REF!</definedName>
    <definedName name="______MMM26" localSheetId="25">#REF!</definedName>
    <definedName name="______MMM27" localSheetId="25">#REF!</definedName>
    <definedName name="______MMM28" localSheetId="25">#REF!</definedName>
    <definedName name="______MMM29" localSheetId="25">#REF!</definedName>
    <definedName name="______MMM30" localSheetId="25">#REF!</definedName>
    <definedName name="______MMM31" localSheetId="25">#REF!</definedName>
    <definedName name="______MMM32" localSheetId="25">#REF!</definedName>
    <definedName name="______MMM33" localSheetId="25">#REF!</definedName>
    <definedName name="______MMM34" localSheetId="25">#REF!</definedName>
    <definedName name="______MMM35" localSheetId="25">#REF!</definedName>
    <definedName name="______MMM36" localSheetId="25">#REF!</definedName>
    <definedName name="______MMM37" localSheetId="25">#REF!</definedName>
    <definedName name="______MMM38" localSheetId="25">#REF!</definedName>
    <definedName name="______MMM39" localSheetId="25">#REF!</definedName>
    <definedName name="______MMM40" localSheetId="25">#REF!</definedName>
    <definedName name="______MMM41" localSheetId="25">#REF!</definedName>
    <definedName name="______MMM411" localSheetId="25">#REF!</definedName>
    <definedName name="______MMM42" localSheetId="25">#REF!</definedName>
    <definedName name="______MMM43" localSheetId="25">#REF!</definedName>
    <definedName name="______MMM44" localSheetId="25">#REF!</definedName>
    <definedName name="______MMM45" localSheetId="25">#REF!</definedName>
    <definedName name="______MMM46" localSheetId="25">#REF!</definedName>
    <definedName name="______MMM47" localSheetId="25">#REF!</definedName>
    <definedName name="______MMM48" localSheetId="25">#REF!</definedName>
    <definedName name="______MMM49" localSheetId="25">#REF!</definedName>
    <definedName name="______MMM50" localSheetId="25">#REF!</definedName>
    <definedName name="______MMM51" localSheetId="25">#REF!</definedName>
    <definedName name="______MMM52" localSheetId="25">#REF!</definedName>
    <definedName name="______MMM53" localSheetId="25">#REF!</definedName>
    <definedName name="______MMM54" localSheetId="25">#REF!</definedName>
    <definedName name="_____LLL01" localSheetId="25">#REF!</definedName>
    <definedName name="_____LLL02" localSheetId="25">#REF!</definedName>
    <definedName name="_____LLL03" localSheetId="25">#REF!</definedName>
    <definedName name="_____LLL04" localSheetId="25">#REF!</definedName>
    <definedName name="_____LLL05" localSheetId="25">#REF!</definedName>
    <definedName name="_____LLL06" localSheetId="25">#REF!</definedName>
    <definedName name="_____LLL07" localSheetId="25">#REF!</definedName>
    <definedName name="_____LLL08" localSheetId="25">#REF!</definedName>
    <definedName name="_____LLL09" localSheetId="25">#REF!</definedName>
    <definedName name="_____LLL10" localSheetId="25">#REF!</definedName>
    <definedName name="_____LLL11" localSheetId="25">#REF!</definedName>
    <definedName name="_____MMM01" localSheetId="25">#REF!</definedName>
    <definedName name="_____MMM02" localSheetId="25">#REF!</definedName>
    <definedName name="_____MMM03" localSheetId="25">#REF!</definedName>
    <definedName name="_____MMM04" localSheetId="25">#REF!</definedName>
    <definedName name="_____MMM05" localSheetId="25">#REF!</definedName>
    <definedName name="_____MMM06" localSheetId="25">#REF!</definedName>
    <definedName name="_____MMM07" localSheetId="25">#REF!</definedName>
    <definedName name="_____MMM08" localSheetId="25">#REF!</definedName>
    <definedName name="_____MMM09" localSheetId="25">#REF!</definedName>
    <definedName name="_____MMM10" localSheetId="25">#REF!</definedName>
    <definedName name="_____MMM11" localSheetId="25">#REF!</definedName>
    <definedName name="_____MMM12" localSheetId="25">#REF!</definedName>
    <definedName name="_____MMM13" localSheetId="25">#REF!</definedName>
    <definedName name="_____MMM14" localSheetId="25">#REF!</definedName>
    <definedName name="_____MMM15" localSheetId="25">#REF!</definedName>
    <definedName name="_____MMM16" localSheetId="25">#REF!</definedName>
    <definedName name="_____MMM17" localSheetId="25">#REF!</definedName>
    <definedName name="_____MMM18" localSheetId="25">#REF!</definedName>
    <definedName name="_____MMM19" localSheetId="25">#REF!</definedName>
    <definedName name="_____MMM20" localSheetId="25">#REF!</definedName>
    <definedName name="_____MMM21" localSheetId="25">#REF!</definedName>
    <definedName name="_____MMM22" localSheetId="25">#REF!</definedName>
    <definedName name="_____MMM23" localSheetId="25">#REF!</definedName>
    <definedName name="_____MMM24" localSheetId="25">#REF!</definedName>
    <definedName name="_____MMM25" localSheetId="25">#REF!</definedName>
    <definedName name="_____MMM26" localSheetId="25">#REF!</definedName>
    <definedName name="_____MMM27" localSheetId="25">#REF!</definedName>
    <definedName name="_____MMM28" localSheetId="25">#REF!</definedName>
    <definedName name="_____MMM29" localSheetId="25">#REF!</definedName>
    <definedName name="_____MMM30" localSheetId="25">#REF!</definedName>
    <definedName name="_____MMM31" localSheetId="25">#REF!</definedName>
    <definedName name="_____MMM32" localSheetId="25">#REF!</definedName>
    <definedName name="_____MMM33" localSheetId="25">#REF!</definedName>
    <definedName name="_____MMM34" localSheetId="25">#REF!</definedName>
    <definedName name="_____MMM35" localSheetId="25">#REF!</definedName>
    <definedName name="_____MMM36" localSheetId="25">#REF!</definedName>
    <definedName name="_____MMM37" localSheetId="25">#REF!</definedName>
    <definedName name="_____MMM38" localSheetId="25">#REF!</definedName>
    <definedName name="_____MMM39" localSheetId="25">#REF!</definedName>
    <definedName name="_____MMM40" localSheetId="25">#REF!</definedName>
    <definedName name="_____MMM41" localSheetId="25">#REF!</definedName>
    <definedName name="_____MMM411" localSheetId="25">#REF!</definedName>
    <definedName name="_____MMM42" localSheetId="25">#REF!</definedName>
    <definedName name="_____MMM43" localSheetId="25">#REF!</definedName>
    <definedName name="_____MMM44" localSheetId="25">#REF!</definedName>
    <definedName name="_____MMM45" localSheetId="25">#REF!</definedName>
    <definedName name="_____MMM46" localSheetId="25">#REF!</definedName>
    <definedName name="_____MMM47" localSheetId="25">#REF!</definedName>
    <definedName name="_____MMM48" localSheetId="25">#REF!</definedName>
    <definedName name="_____MMM49" localSheetId="25">#REF!</definedName>
    <definedName name="_____MMM50" localSheetId="25">#REF!</definedName>
    <definedName name="_____MMM51" localSheetId="25">#REF!</definedName>
    <definedName name="_____MMM52" localSheetId="25">#REF!</definedName>
    <definedName name="_____MMM53" localSheetId="25">#REF!</definedName>
    <definedName name="_____MMM54" localSheetId="25">#REF!</definedName>
    <definedName name="____LLL01" localSheetId="25">#REF!</definedName>
    <definedName name="____LLL02" localSheetId="25">#REF!</definedName>
    <definedName name="____LLL03" localSheetId="25">#REF!</definedName>
    <definedName name="____LLL04" localSheetId="25">#REF!</definedName>
    <definedName name="____LLL05" localSheetId="25">#REF!</definedName>
    <definedName name="____LLL06" localSheetId="25">#REF!</definedName>
    <definedName name="____LLL07" localSheetId="25">#REF!</definedName>
    <definedName name="____LLL08" localSheetId="25">#REF!</definedName>
    <definedName name="____LLL09" localSheetId="25">#REF!</definedName>
    <definedName name="____LLL10" localSheetId="25">#REF!</definedName>
    <definedName name="____LLL11" localSheetId="25">#REF!</definedName>
    <definedName name="____MMM01" localSheetId="25">#REF!</definedName>
    <definedName name="____MMM02" localSheetId="25">#REF!</definedName>
    <definedName name="____MMM03" localSheetId="25">#REF!</definedName>
    <definedName name="____MMM04" localSheetId="25">#REF!</definedName>
    <definedName name="____MMM05" localSheetId="25">#REF!</definedName>
    <definedName name="____MMM06" localSheetId="25">#REF!</definedName>
    <definedName name="____MMM07" localSheetId="25">#REF!</definedName>
    <definedName name="____MMM08" localSheetId="25">#REF!</definedName>
    <definedName name="____MMM09" localSheetId="25">#REF!</definedName>
    <definedName name="____MMM10" localSheetId="25">#REF!</definedName>
    <definedName name="____MMM11" localSheetId="25">#REF!</definedName>
    <definedName name="____MMM12" localSheetId="25">#REF!</definedName>
    <definedName name="____MMM13" localSheetId="25">#REF!</definedName>
    <definedName name="____MMM14" localSheetId="25">#REF!</definedName>
    <definedName name="____MMM15" localSheetId="25">#REF!</definedName>
    <definedName name="____MMM16" localSheetId="25">#REF!</definedName>
    <definedName name="____MMM17" localSheetId="25">#REF!</definedName>
    <definedName name="____MMM18" localSheetId="25">#REF!</definedName>
    <definedName name="____MMM19" localSheetId="25">#REF!</definedName>
    <definedName name="____MMM20" localSheetId="25">#REF!</definedName>
    <definedName name="____MMM21" localSheetId="25">#REF!</definedName>
    <definedName name="____MMM22" localSheetId="25">#REF!</definedName>
    <definedName name="____MMM23" localSheetId="25">#REF!</definedName>
    <definedName name="____MMM24" localSheetId="25">#REF!</definedName>
    <definedName name="____MMM25" localSheetId="25">#REF!</definedName>
    <definedName name="____MMM26" localSheetId="25">#REF!</definedName>
    <definedName name="____MMM27" localSheetId="25">#REF!</definedName>
    <definedName name="____MMM28" localSheetId="25">#REF!</definedName>
    <definedName name="____MMM29" localSheetId="25">#REF!</definedName>
    <definedName name="____MMM30" localSheetId="25">#REF!</definedName>
    <definedName name="____MMM31" localSheetId="25">#REF!</definedName>
    <definedName name="____MMM32" localSheetId="25">#REF!</definedName>
    <definedName name="____MMM33" localSheetId="25">#REF!</definedName>
    <definedName name="____MMM34" localSheetId="25">#REF!</definedName>
    <definedName name="____MMM35" localSheetId="25">#REF!</definedName>
    <definedName name="____MMM36" localSheetId="25">#REF!</definedName>
    <definedName name="____MMM37" localSheetId="25">#REF!</definedName>
    <definedName name="____MMM38" localSheetId="25">#REF!</definedName>
    <definedName name="____MMM39" localSheetId="25">#REF!</definedName>
    <definedName name="____MMM40" localSheetId="25">#REF!</definedName>
    <definedName name="____MMM41" localSheetId="25">#REF!</definedName>
    <definedName name="____MMM411" localSheetId="25">#REF!</definedName>
    <definedName name="____MMM42" localSheetId="25">#REF!</definedName>
    <definedName name="____MMM43" localSheetId="25">#REF!</definedName>
    <definedName name="____MMM44" localSheetId="25">#REF!</definedName>
    <definedName name="____MMM45" localSheetId="25">#REF!</definedName>
    <definedName name="____MMM46" localSheetId="25">#REF!</definedName>
    <definedName name="____MMM47" localSheetId="25">#REF!</definedName>
    <definedName name="____MMM48" localSheetId="25">#REF!</definedName>
    <definedName name="____MMM49" localSheetId="25">#REF!</definedName>
    <definedName name="____MMM50" localSheetId="25">#REF!</definedName>
    <definedName name="____MMM51" localSheetId="25">#REF!</definedName>
    <definedName name="____MMM52" localSheetId="25">#REF!</definedName>
    <definedName name="____MMM53" localSheetId="25">#REF!</definedName>
    <definedName name="____MMM54" localSheetId="25">#REF!</definedName>
    <definedName name="___MDE26" localSheetId="25">#REF!</definedName>
    <definedName name="___ME26" localSheetId="25">#REF!</definedName>
    <definedName name="__HAL1" localSheetId="25">#REF!</definedName>
    <definedName name="__MDE26" localSheetId="25">#REF!</definedName>
    <definedName name="__ME26" localSheetId="25">#REF!</definedName>
    <definedName name="__sp606" localSheetId="25">#REF!</definedName>
    <definedName name="_110" localSheetId="25">#REF!</definedName>
    <definedName name="_210" localSheetId="25">#REF!</definedName>
    <definedName name="_224" localSheetId="25">#REF!</definedName>
    <definedName name="_225" localSheetId="25">#REF!</definedName>
    <definedName name="_310" localSheetId="25">#REF!</definedName>
    <definedName name="_410" localSheetId="25">#REF!</definedName>
    <definedName name="_424" localSheetId="25">#REF!</definedName>
    <definedName name="_514" localSheetId="25">#REF!</definedName>
    <definedName name="_705" localSheetId="25">#REF!</definedName>
    <definedName name="_EEE01" localSheetId="25">#REF!</definedName>
    <definedName name="_EEE03" localSheetId="25">#REF!</definedName>
    <definedName name="_EEE04" localSheetId="25">#REF!</definedName>
    <definedName name="_EEE12" localSheetId="25">#REF!</definedName>
    <definedName name="_EEE14" localSheetId="25">#REF!</definedName>
    <definedName name="_EEE15" localSheetId="25">#REF!</definedName>
    <definedName name="_EEE18" localSheetId="25">#REF!</definedName>
    <definedName name="_EEE19" localSheetId="25">#REF!</definedName>
    <definedName name="_EEE20" localSheetId="25">#REF!</definedName>
    <definedName name="_EEE21" localSheetId="25">#REF!</definedName>
    <definedName name="_EEE22" localSheetId="25">#REF!</definedName>
    <definedName name="_EEE24" localSheetId="25">#REF!</definedName>
    <definedName name="_EEE25" localSheetId="25">#REF!</definedName>
    <definedName name="_EEE26" localSheetId="25">#REF!</definedName>
    <definedName name="_EEE28" localSheetId="25">#REF!</definedName>
    <definedName name="_EEE30" localSheetId="25">#REF!</definedName>
    <definedName name="_EEE32" localSheetId="25">#REF!</definedName>
    <definedName name="_EEE33" localSheetId="25">#REF!</definedName>
    <definedName name="_Fill" localSheetId="25" hidden="1">#REF!</definedName>
    <definedName name="_HAL1" localSheetId="25">#REF!</definedName>
    <definedName name="_Key1" localSheetId="25" hidden="1">#REF!</definedName>
    <definedName name="_Key2" localSheetId="25" hidden="1">#REF!</definedName>
    <definedName name="_MDE26" localSheetId="25">#REF!</definedName>
    <definedName name="_ME26" localSheetId="25">#REF!</definedName>
    <definedName name="_Sort" localSheetId="25" hidden="1">#REF!</definedName>
    <definedName name="_sp606" localSheetId="25">#REF!</definedName>
    <definedName name="_Table1_In1" localSheetId="25" hidden="1">#REF!</definedName>
    <definedName name="_Table1_Out" localSheetId="25" hidden="1">#REF!</definedName>
    <definedName name="_Table2_In1" localSheetId="25" hidden="1">#REF!</definedName>
    <definedName name="_Table2_In2" localSheetId="25" hidden="1">#REF!</definedName>
    <definedName name="_Table2_Out" localSheetId="25" hidden="1">#REF!</definedName>
    <definedName name="A.1" localSheetId="25">#REF!</definedName>
    <definedName name="A.16" localSheetId="25">#REF!</definedName>
    <definedName name="A.18_PASIR" localSheetId="25">#REF!</definedName>
    <definedName name="A.18_TANAH" localSheetId="25">#REF!</definedName>
    <definedName name="A.2" localSheetId="25">#REF!</definedName>
    <definedName name="A.4" localSheetId="25">#REF!</definedName>
    <definedName name="A_1" localSheetId="25">#REF!</definedName>
    <definedName name="AAA" localSheetId="25">#REF!</definedName>
    <definedName name="adsdsd" localSheetId="25">#REF!</definedName>
    <definedName name="alat" localSheetId="25">#REF!</definedName>
    <definedName name="ALATUTAMA" localSheetId="25">#REF!</definedName>
    <definedName name="AMP" localSheetId="25">#REF!</definedName>
    <definedName name="AN.1" localSheetId="25">#REF!</definedName>
    <definedName name="april" localSheetId="25">#REF!</definedName>
    <definedName name="asdasd" localSheetId="25">#REF!</definedName>
    <definedName name="ATAP" localSheetId="25">#REF!</definedName>
    <definedName name="bb" localSheetId="25">#REF!</definedName>
    <definedName name="bbb" localSheetId="25">#REF!</definedName>
    <definedName name="BET_NON_STRUK" localSheetId="25">#REF!</definedName>
    <definedName name="bhn" localSheetId="25">#REF!</definedName>
    <definedName name="BHN.MAROS" localSheetId="25">#REF!</definedName>
    <definedName name="bhn.maros1" localSheetId="25">#REF!</definedName>
    <definedName name="bhn.pangkep" localSheetId="25">#REF!</definedName>
    <definedName name="bnb" localSheetId="25">#REF!</definedName>
    <definedName name="BULLDOZER" localSheetId="25">#REF!</definedName>
    <definedName name="CAT" localSheetId="25">#REF!</definedName>
    <definedName name="CCCC" localSheetId="25" hidden="1">#REF!</definedName>
    <definedName name="COMPRESSOR" localSheetId="25">#REF!</definedName>
    <definedName name="CONCRETEMIXER" localSheetId="25">#REF!</definedName>
    <definedName name="CONCRETEVIBRO" localSheetId="25">#REF!</definedName>
    <definedName name="CRANE" localSheetId="25">#REF!</definedName>
    <definedName name="D" localSheetId="25">#REF!</definedName>
    <definedName name="DAFTARSEWA" localSheetId="25">#REF!</definedName>
    <definedName name="dd" localSheetId="25" hidden="1">#REF!</definedName>
    <definedName name="dddd" localSheetId="25" hidden="1">#REF!</definedName>
    <definedName name="deuicker" localSheetId="25">#REF!</definedName>
    <definedName name="Dibuat_tgl" localSheetId="25">#REF!</definedName>
    <definedName name="DINDING" localSheetId="25">#REF!</definedName>
    <definedName name="Disiapkan_oleh" localSheetId="25">#REF!</definedName>
    <definedName name="DUMPTRUCK1" localSheetId="25">#REF!</definedName>
    <definedName name="DUMPTRUCK2" localSheetId="25">#REF!</definedName>
    <definedName name="E.13" localSheetId="25">#REF!</definedName>
    <definedName name="E_001" localSheetId="25">#REF!</definedName>
    <definedName name="E_010" localSheetId="25">#REF!</definedName>
    <definedName name="E_031" localSheetId="25">#REF!</definedName>
    <definedName name="E_040" localSheetId="25">#REF!</definedName>
    <definedName name="E_052" localSheetId="25">#REF!</definedName>
    <definedName name="E_080" localSheetId="25">#REF!</definedName>
    <definedName name="E_081" localSheetId="25">#REF!</definedName>
    <definedName name="E_084" localSheetId="25">#REF!</definedName>
    <definedName name="E_087" localSheetId="25">#REF!</definedName>
    <definedName name="E_088" localSheetId="25">#REF!</definedName>
    <definedName name="E_089" localSheetId="25">#REF!</definedName>
    <definedName name="E_13" localSheetId="25">#REF!</definedName>
    <definedName name="E_153" localSheetId="25">#REF!</definedName>
    <definedName name="E_154" localSheetId="25">#REF!</definedName>
    <definedName name="E_155" localSheetId="25">#REF!</definedName>
    <definedName name="E_157" localSheetId="25">#REF!</definedName>
    <definedName name="E_182" localSheetId="25">#REF!</definedName>
    <definedName name="E_211" localSheetId="25">#REF!</definedName>
    <definedName name="E_212" localSheetId="25">#REF!</definedName>
    <definedName name="E_221" localSheetId="25">#REF!</definedName>
    <definedName name="E_251" localSheetId="25">#REF!</definedName>
    <definedName name="E_253" localSheetId="25">#REF!</definedName>
    <definedName name="E_301" localSheetId="25">#REF!</definedName>
    <definedName name="E_341" localSheetId="25">#REF!</definedName>
    <definedName name="EXCAVATOR" localSheetId="25">#REF!</definedName>
    <definedName name="F.1_I" localSheetId="25">#REF!</definedName>
    <definedName name="F.1_II" localSheetId="25">#REF!</definedName>
    <definedName name="F.16" localSheetId="25">#REF!</definedName>
    <definedName name="F.21_I" localSheetId="25">#REF!</definedName>
    <definedName name="F.21_II" localSheetId="25">#REF!</definedName>
    <definedName name="F.22_I" localSheetId="25">#REF!</definedName>
    <definedName name="F.22_II" localSheetId="25">#REF!</definedName>
    <definedName name="F.27_I" localSheetId="25">#REF!</definedName>
    <definedName name="F.27_II" localSheetId="25">#REF!</definedName>
    <definedName name="F.30_I_TEAK" localSheetId="25">#REF!</definedName>
    <definedName name="F.30_I_TRIP" localSheetId="25">#REF!</definedName>
    <definedName name="F.30_II_TEAK" localSheetId="25">#REF!</definedName>
    <definedName name="F.30_II_TRIP" localSheetId="25">#REF!</definedName>
    <definedName name="F.31_I" localSheetId="25">#REF!</definedName>
    <definedName name="F.31_II" localSheetId="25">#REF!</definedName>
    <definedName name="F.33_I" localSheetId="25">#REF!</definedName>
    <definedName name="F.33_II" localSheetId="25">#REF!</definedName>
    <definedName name="F.35_B3" localSheetId="25">#REF!</definedName>
    <definedName name="F.35_B5" localSheetId="25">#REF!</definedName>
    <definedName name="F.35_R3" localSheetId="25">#REF!</definedName>
    <definedName name="F.35_R5" localSheetId="25">#REF!</definedName>
    <definedName name="F.36_B_I" localSheetId="25">#REF!</definedName>
    <definedName name="F.36_B_II" localSheetId="25">#REF!</definedName>
    <definedName name="F.36_R_I" localSheetId="25">#REF!</definedName>
    <definedName name="F.36_R_II" localSheetId="25">#REF!</definedName>
    <definedName name="F.36A_I" localSheetId="25">#REF!</definedName>
    <definedName name="F.36A_II" localSheetId="25">#REF!</definedName>
    <definedName name="F.37_P_I" localSheetId="25">#REF!</definedName>
    <definedName name="F.37_P_II" localSheetId="25">#REF!</definedName>
    <definedName name="F.37_T" localSheetId="25">#REF!</definedName>
    <definedName name="F.37_TEAK" localSheetId="25">#REF!</definedName>
    <definedName name="F.38_I" localSheetId="25">#REF!</definedName>
    <definedName name="F.38_II" localSheetId="25">#REF!</definedName>
    <definedName name="F.47_I" localSheetId="25">#REF!</definedName>
    <definedName name="F.47_II" localSheetId="25">#REF!</definedName>
    <definedName name="FFF" localSheetId="25">#REF!</definedName>
    <definedName name="FINISHER" localSheetId="25">#REF!</definedName>
    <definedName name="FINISHING" localSheetId="25">#REF!</definedName>
    <definedName name="FLATBEDTRUCK" localSheetId="25">#REF!</definedName>
    <definedName name="FORM323L" localSheetId="25">#REF!</definedName>
    <definedName name="FORM611" localSheetId="25">#REF!</definedName>
    <definedName name="FORM612" localSheetId="25">#REF!</definedName>
    <definedName name="FORM621" localSheetId="25">#REF!</definedName>
    <definedName name="FORM622" localSheetId="25">#REF!</definedName>
    <definedName name="FORM623" localSheetId="25">#REF!</definedName>
    <definedName name="FORM631" localSheetId="25">#REF!</definedName>
    <definedName name="FORM632" localSheetId="25">#REF!</definedName>
    <definedName name="FORM633" localSheetId="25">#REF!</definedName>
    <definedName name="FORM634" localSheetId="25">#REF!</definedName>
    <definedName name="FORM635" localSheetId="25">#REF!</definedName>
    <definedName name="FORM635A" localSheetId="25">#REF!</definedName>
    <definedName name="FORM636" localSheetId="25">#REF!</definedName>
    <definedName name="FORM641L" localSheetId="25">#REF!</definedName>
    <definedName name="FORM642" localSheetId="25">#REF!</definedName>
    <definedName name="FORM65" localSheetId="25">#REF!</definedName>
    <definedName name="FORM66PERATA" localSheetId="25">#REF!</definedName>
    <definedName name="FORM66PERMUKAAN" localSheetId="25">#REF!</definedName>
    <definedName name="FORM7101" localSheetId="25">#REF!</definedName>
    <definedName name="FORM7102" localSheetId="25">#REF!</definedName>
    <definedName name="FORM7103" localSheetId="25">#REF!</definedName>
    <definedName name="FORM711" localSheetId="25">#REF!</definedName>
    <definedName name="FORM712" localSheetId="25">#REF!</definedName>
    <definedName name="FORM713" localSheetId="25">#REF!</definedName>
    <definedName name="FORM714" localSheetId="25">#REF!</definedName>
    <definedName name="FORM715" localSheetId="25">#REF!</definedName>
    <definedName name="FORM716" localSheetId="25">#REF!</definedName>
    <definedName name="FORM717" localSheetId="25">#REF!</definedName>
    <definedName name="FORM718" localSheetId="25">#REF!</definedName>
    <definedName name="FORM721" localSheetId="25">#REF!</definedName>
    <definedName name="FORM731" localSheetId="25">#REF!</definedName>
    <definedName name="FORM732" localSheetId="25">#REF!</definedName>
    <definedName name="FORM733" localSheetId="25">#REF!</definedName>
    <definedName name="FORM734" localSheetId="25">#REF!</definedName>
    <definedName name="FORM735" localSheetId="25">#REF!</definedName>
    <definedName name="FORM744" localSheetId="25">#REF!</definedName>
    <definedName name="FORM745" localSheetId="25">#REF!</definedName>
    <definedName name="FORM7610" localSheetId="25">#REF!</definedName>
    <definedName name="FORM7612a" localSheetId="25">#REF!</definedName>
    <definedName name="FORM7612b" localSheetId="25">#REF!</definedName>
    <definedName name="FORM7612c" localSheetId="25">#REF!</definedName>
    <definedName name="FORM7613a" localSheetId="25">#REF!</definedName>
    <definedName name="FORM7613b" localSheetId="25">#REF!</definedName>
    <definedName name="FORM7613c" localSheetId="25">#REF!</definedName>
    <definedName name="FORM7614a" localSheetId="25">#REF!</definedName>
    <definedName name="FORM7614b" localSheetId="25">#REF!</definedName>
    <definedName name="FORM7614c" localSheetId="25">#REF!</definedName>
    <definedName name="FORM7614d" localSheetId="25">#REF!</definedName>
    <definedName name="FORM7614e" localSheetId="25">#REF!</definedName>
    <definedName name="FORM7618" localSheetId="25">#REF!</definedName>
    <definedName name="FORM7619" localSheetId="25">#REF!</definedName>
    <definedName name="FORM768" localSheetId="25">#REF!</definedName>
    <definedName name="FORM769" localSheetId="25">#REF!</definedName>
    <definedName name="FORM76X" localSheetId="25">#REF!</definedName>
    <definedName name="FORM771a" localSheetId="25">#REF!</definedName>
    <definedName name="FORM771b" localSheetId="25">#REF!</definedName>
    <definedName name="FORM771c" localSheetId="25">#REF!</definedName>
    <definedName name="FORM771d" localSheetId="25">#REF!</definedName>
    <definedName name="FORM772a" localSheetId="25">#REF!</definedName>
    <definedName name="FORM772b" localSheetId="25">#REF!</definedName>
    <definedName name="FORM772c" localSheetId="25">#REF!</definedName>
    <definedName name="FORM772d" localSheetId="25">#REF!</definedName>
    <definedName name="FORM79manual" localSheetId="25">#REF!</definedName>
    <definedName name="FORM79mekanis" localSheetId="25">#REF!</definedName>
    <definedName name="FORM811" localSheetId="25">#REF!</definedName>
    <definedName name="FORM812" localSheetId="25">#REF!</definedName>
    <definedName name="FORM813" localSheetId="25">#REF!</definedName>
    <definedName name="FORM814" localSheetId="25">#REF!</definedName>
    <definedName name="FORM815" localSheetId="25">#REF!</definedName>
    <definedName name="FORM817" localSheetId="25">#REF!</definedName>
    <definedName name="FORM818" localSheetId="25">#REF!</definedName>
    <definedName name="FORM819" localSheetId="25">#REF!</definedName>
    <definedName name="FORM82" localSheetId="25">#REF!</definedName>
    <definedName name="FORM841" localSheetId="25">#REF!</definedName>
    <definedName name="FORM8410" localSheetId="25">#REF!</definedName>
    <definedName name="FORM842" localSheetId="25">#REF!</definedName>
    <definedName name="FORM844" localSheetId="25">#REF!</definedName>
    <definedName name="FORM845" localSheetId="25">#REF!</definedName>
    <definedName name="FORM846" localSheetId="25">#REF!</definedName>
    <definedName name="FORM847" localSheetId="25">#REF!</definedName>
    <definedName name="FORMGEOTEKSTIL" localSheetId="25">#REF!</definedName>
    <definedName name="FRRDS" localSheetId="25">#REF!</definedName>
    <definedName name="FULVIMIXER" localSheetId="25">#REF!</definedName>
    <definedName name="G.14" localSheetId="25">#REF!</definedName>
    <definedName name="G.16" localSheetId="25">#REF!</definedName>
    <definedName name="G.2" localSheetId="25">#REF!</definedName>
    <definedName name="G.32H" localSheetId="25">#REF!</definedName>
    <definedName name="G.32K" localSheetId="25">#REF!</definedName>
    <definedName name="G.32L" localSheetId="25">#REF!</definedName>
    <definedName name="G.33F" localSheetId="25">#REF!</definedName>
    <definedName name="G.33H" localSheetId="25">#REF!</definedName>
    <definedName name="G.33I" localSheetId="25">#REF!</definedName>
    <definedName name="G.33L" localSheetId="25">#REF!</definedName>
    <definedName name="G.44" localSheetId="25">#REF!</definedName>
    <definedName name="G.50H" localSheetId="25">#REF!</definedName>
    <definedName name="G.50I" localSheetId="25">#REF!</definedName>
    <definedName name="G.50J" localSheetId="25">#REF!</definedName>
    <definedName name="G.50K" localSheetId="25">#REF!</definedName>
    <definedName name="G.50O" localSheetId="25">#REF!</definedName>
    <definedName name="G.50P" localSheetId="25">#REF!</definedName>
    <definedName name="G.51C" localSheetId="25">#REF!</definedName>
    <definedName name="G.51D" localSheetId="25">#REF!</definedName>
    <definedName name="G.53" localSheetId="25">#REF!</definedName>
    <definedName name="G.53A" localSheetId="25">#REF!</definedName>
    <definedName name="G.55B" localSheetId="25">#REF!</definedName>
    <definedName name="G.55C" localSheetId="25">#REF!</definedName>
    <definedName name="G.5A" localSheetId="25">#REF!</definedName>
    <definedName name="G.5B" localSheetId="25">#REF!</definedName>
    <definedName name="G.5C" localSheetId="25">#REF!</definedName>
    <definedName name="G.6" localSheetId="25">#REF!</definedName>
    <definedName name="G.67" localSheetId="25">#REF!</definedName>
    <definedName name="G.72_20X20" localSheetId="25">#REF!</definedName>
    <definedName name="G.72_30X30" localSheetId="25">#REF!</definedName>
    <definedName name="G.72_M_30X30" localSheetId="25">#REF!</definedName>
    <definedName name="G_1" localSheetId="25">#REF!</definedName>
    <definedName name="G_50m" localSheetId="25">#REF!</definedName>
    <definedName name="G_53A" localSheetId="25">#REF!</definedName>
    <definedName name="G_72b" localSheetId="25">#REF!</definedName>
    <definedName name="GENSET" localSheetId="25">#REF!</definedName>
    <definedName name="GRADER" localSheetId="25">#REF!</definedName>
    <definedName name="H.10_ASBES" localSheetId="25">#REF!</definedName>
    <definedName name="H.10_SENG" localSheetId="25">#REF!</definedName>
    <definedName name="H.14_KARET" localSheetId="25">#REF!</definedName>
    <definedName name="H.14_SENG_PLAT" localSheetId="25">#REF!</definedName>
    <definedName name="H.17_KARET" localSheetId="25">#REF!</definedName>
    <definedName name="H.17_SENG_PLAT" localSheetId="25">#REF!</definedName>
    <definedName name="H.2" localSheetId="25">#REF!</definedName>
    <definedName name="H.6" localSheetId="25">#REF!</definedName>
    <definedName name="H.8_AS_GEL" localSheetId="25">#REF!</definedName>
    <definedName name="H.8_AS_GEN" localSheetId="25">#REF!</definedName>
    <definedName name="H.8_SENG" localSheetId="25">#REF!</definedName>
    <definedName name="HARGA" localSheetId="25">#REF!</definedName>
    <definedName name="hargasatuan" localSheetId="25">#REF!</definedName>
    <definedName name="hlll" localSheetId="25" hidden="1">#REF!</definedName>
    <definedName name="hrg_dsr" localSheetId="25">#REF!</definedName>
    <definedName name="INSTALASI_LISTRIK" localSheetId="25">#REF!</definedName>
    <definedName name="JACKHAMMER" localSheetId="25">#REF!</definedName>
    <definedName name="JAM" localSheetId="25">#REF!</definedName>
    <definedName name="JAMER" localSheetId="25">#REF!</definedName>
    <definedName name="jml" localSheetId="25">#REF!</definedName>
    <definedName name="K" localSheetId="25">#REF!</definedName>
    <definedName name="K.30" localSheetId="25">#REF!</definedName>
    <definedName name="K.7_23_CAT" localSheetId="25">#REF!</definedName>
    <definedName name="K.7_23_KAPUR" localSheetId="25">#REF!</definedName>
    <definedName name="K.8_23_ASGEN" localSheetId="25">#REF!</definedName>
    <definedName name="K.8_23_SENG" localSheetId="25">#REF!</definedName>
    <definedName name="K.9_23" localSheetId="25">#REF!</definedName>
    <definedName name="K.9_23B" localSheetId="25">#REF!</definedName>
    <definedName name="K_010" localSheetId="25">#REF!</definedName>
    <definedName name="K_011" localSheetId="25">#REF!</definedName>
    <definedName name="K_011_peng.kr.gal.t.saring.b_hal.2" localSheetId="25">#REF!</definedName>
    <definedName name="K_012" localSheetId="25">#REF!</definedName>
    <definedName name="K_012_peng.kr.sung.t.saring.a_hal.3" localSheetId="25">#REF!</definedName>
    <definedName name="K_013_peng.kr.sung.t.saring.b_hal.4" localSheetId="25">#REF!</definedName>
    <definedName name="K_014" localSheetId="25">#REF!</definedName>
    <definedName name="K_016" localSheetId="25">#REF!</definedName>
    <definedName name="K_016_peng.kr.sung.saring.a_hal.6" localSheetId="25">#REF!</definedName>
    <definedName name="K_017" localSheetId="25">#REF!</definedName>
    <definedName name="K_017_produk.bt.sung.pch.saring.a_hal.7" localSheetId="25">#REF!</definedName>
    <definedName name="K_023_produk.suplai_lasbutag.b_hal.47" localSheetId="25">#REF!</definedName>
    <definedName name="K_026" localSheetId="25">#REF!</definedName>
    <definedName name="K_035" localSheetId="25">#REF!</definedName>
    <definedName name="K_040" localSheetId="25">#REF!</definedName>
    <definedName name="K_110" localSheetId="25">#REF!</definedName>
    <definedName name="K_115" localSheetId="25">#REF!</definedName>
    <definedName name="K_116" localSheetId="25">#REF!</definedName>
    <definedName name="K_210" localSheetId="25">#REF!</definedName>
    <definedName name="K_224" localSheetId="25">#REF!</definedName>
    <definedName name="K_225" localSheetId="25">#REF!</definedName>
    <definedName name="K_310" localSheetId="25">#REF!</definedName>
    <definedName name="K_311" localSheetId="25">#REF!</definedName>
    <definedName name="K_321" localSheetId="25">#REF!</definedName>
    <definedName name="K_410" localSheetId="25">#REF!</definedName>
    <definedName name="K_421" localSheetId="25">#REF!</definedName>
    <definedName name="K_422" localSheetId="25">#REF!</definedName>
    <definedName name="K_424" localSheetId="25">#REF!</definedName>
    <definedName name="K_514" localSheetId="25">#REF!</definedName>
    <definedName name="K_516" localSheetId="25">#REF!</definedName>
    <definedName name="K_523" localSheetId="25">#REF!</definedName>
    <definedName name="K_528" localSheetId="25">#REF!</definedName>
    <definedName name="K_612" localSheetId="25">#REF!</definedName>
    <definedName name="K_614" localSheetId="25">#REF!</definedName>
    <definedName name="K_617" localSheetId="25">#REF!</definedName>
    <definedName name="K_618" localSheetId="25">#REF!</definedName>
    <definedName name="K_631" localSheetId="25">#REF!</definedName>
    <definedName name="K_636" localSheetId="25">#REF!</definedName>
    <definedName name="K_705" localSheetId="25">#REF!</definedName>
    <definedName name="K_710" localSheetId="25">#REF!</definedName>
    <definedName name="K_715" localSheetId="25">#REF!</definedName>
    <definedName name="K_720" localSheetId="25">#REF!</definedName>
    <definedName name="K_721" localSheetId="25">#REF!</definedName>
    <definedName name="K_722" localSheetId="25">#REF!</definedName>
    <definedName name="K_722_beton.strukt.K225.alat.mix.125ltr_hal.11" localSheetId="25">#REF!</definedName>
    <definedName name="K_850" localSheetId="25">#REF!</definedName>
    <definedName name="K_855" localSheetId="25">#REF!</definedName>
    <definedName name="K_860" localSheetId="25">#REF!</definedName>
    <definedName name="K_865" localSheetId="25">#REF!</definedName>
    <definedName name="K_870" localSheetId="25">#REF!</definedName>
    <definedName name="K_875" localSheetId="25">#REF!</definedName>
    <definedName name="K_877" localSheetId="25">#REF!</definedName>
    <definedName name="K_880" localSheetId="25">#REF!</definedName>
    <definedName name="K_885" localSheetId="25">#REF!</definedName>
    <definedName name="KKKK" localSheetId="25" hidden="1">#REF!</definedName>
    <definedName name="kode.alat" localSheetId="25">#REF!</definedName>
    <definedName name="KUANTITAS" localSheetId="25">#REF!</definedName>
    <definedName name="KUDA" localSheetId="25">#REF!</definedName>
    <definedName name="KUDA_ATAP" localSheetId="25">#REF!</definedName>
    <definedName name="KUSEN" localSheetId="25">#REF!</definedName>
    <definedName name="KUSEN_JENDELA" localSheetId="25">#REF!</definedName>
    <definedName name="L_061" localSheetId="25">#REF!</definedName>
    <definedName name="L_073" localSheetId="25">#REF!</definedName>
    <definedName name="L_079" localSheetId="25">#REF!</definedName>
    <definedName name="L_081" localSheetId="25">#REF!</definedName>
    <definedName name="L_082" localSheetId="25">#REF!</definedName>
    <definedName name="L_083" localSheetId="25">#REF!</definedName>
    <definedName name="L_091" localSheetId="25">#REF!</definedName>
    <definedName name="L_099" localSheetId="25">#REF!</definedName>
    <definedName name="L_101" localSheetId="25">#REF!</definedName>
    <definedName name="L_106" localSheetId="25">#REF!</definedName>
    <definedName name="LANTAI_PLAFOND" localSheetId="25">#REF!</definedName>
    <definedName name="link" localSheetId="25">#REF!</definedName>
    <definedName name="M_010" localSheetId="25">#REF!</definedName>
    <definedName name="M_020" localSheetId="25">#REF!</definedName>
    <definedName name="M_021" localSheetId="25">#REF!</definedName>
    <definedName name="M_023" localSheetId="25">#REF!</definedName>
    <definedName name="M_024" localSheetId="25">#REF!</definedName>
    <definedName name="M_025" localSheetId="25">#REF!</definedName>
    <definedName name="M_040" localSheetId="25">#REF!</definedName>
    <definedName name="M_041" localSheetId="25">#REF!</definedName>
    <definedName name="M_050" localSheetId="25">#REF!</definedName>
    <definedName name="M_061" localSheetId="25">#REF!</definedName>
    <definedName name="M_062" localSheetId="25">#REF!</definedName>
    <definedName name="M_063" localSheetId="25">#REF!</definedName>
    <definedName name="M_065" localSheetId="25">#REF!</definedName>
    <definedName name="M_080" localSheetId="25">#REF!</definedName>
    <definedName name="M_081" localSheetId="25">#REF!</definedName>
    <definedName name="M_165" localSheetId="25">#REF!</definedName>
    <definedName name="M_166" localSheetId="25">#REF!</definedName>
    <definedName name="M_167" localSheetId="25">#REF!</definedName>
    <definedName name="M_170" localSheetId="25">#REF!</definedName>
    <definedName name="M_180" localSheetId="25">#REF!</definedName>
    <definedName name="MATERIALKU" localSheetId="25">#REF!</definedName>
    <definedName name="MK_012" localSheetId="25">#REF!</definedName>
    <definedName name="MK_014" localSheetId="25">#REF!</definedName>
    <definedName name="MK_017" localSheetId="25">#REF!</definedName>
    <definedName name="MK_023" localSheetId="25">#REF!</definedName>
    <definedName name="MK_522" localSheetId="25">#REF!</definedName>
    <definedName name="MMM" localSheetId="25" hidden="1">#REF!</definedName>
    <definedName name="MOBILISASI" localSheetId="25">#REF!</definedName>
    <definedName name="MR_11" localSheetId="25">#REF!</definedName>
    <definedName name="MR_12" localSheetId="25">#REF!</definedName>
    <definedName name="MR_42" localSheetId="25">#REF!</definedName>
    <definedName name="nanna79" localSheetId="25">#REF!</definedName>
    <definedName name="oda" localSheetId="25" hidden="1">#REF!</definedName>
    <definedName name="p" localSheetId="25">#REF!</definedName>
    <definedName name="P_GIP_1" localSheetId="25">#REF!</definedName>
    <definedName name="P_GIP_1_5" localSheetId="25">#REF!</definedName>
    <definedName name="P_GIP_2" localSheetId="25">#REF!</definedName>
    <definedName name="P_GIP_3" localSheetId="25">#REF!</definedName>
    <definedName name="P_GIP_4" localSheetId="25">#REF!</definedName>
    <definedName name="P_PVC_1" localSheetId="25">#REF!</definedName>
    <definedName name="P_PVC_1_5" localSheetId="25">#REF!</definedName>
    <definedName name="P_PVC_2" localSheetId="25">#REF!</definedName>
    <definedName name="P_PVC_3" localSheetId="25">#REF!</definedName>
    <definedName name="P_PVC_4" localSheetId="25">#REF!</definedName>
    <definedName name="PAPAN" localSheetId="25">#REF!</definedName>
    <definedName name="PEDESTRIANROLLER" localSheetId="25">#REF!</definedName>
    <definedName name="pek" localSheetId="25">#REF!</definedName>
    <definedName name="PENGECATAN" localSheetId="25">#REF!</definedName>
    <definedName name="PERSIAPAN" localSheetId="25">#REF!</definedName>
    <definedName name="PINTU" localSheetId="25">#REF!</definedName>
    <definedName name="PLAFOND" localSheetId="25">#REF!</definedName>
    <definedName name="PLAT_LANTAI" localSheetId="25">#REF!</definedName>
    <definedName name="PLESTERAN" localSheetId="25">#REF!</definedName>
    <definedName name="PONDASI" localSheetId="25">#REF!</definedName>
    <definedName name="_xlnm.Print_Area" localSheetId="25" hidden="1">#REF!</definedName>
    <definedName name="PTJW" localSheetId="25">#REF!</definedName>
    <definedName name="qq" localSheetId="25">#REF!</definedName>
    <definedName name="RANGKA_PLAFOND" localSheetId="25">#REF!</definedName>
    <definedName name="RINCIANSEWA" localSheetId="25">#REF!</definedName>
    <definedName name="RINCIANSEWA2" localSheetId="25">#REF!</definedName>
    <definedName name="SALURAN_RABAT" localSheetId="25">#REF!</definedName>
    <definedName name="SANITASI" localSheetId="25">#REF!</definedName>
    <definedName name="SISA" localSheetId="25">#REF!</definedName>
    <definedName name="SPL.III_BDK_20" localSheetId="25">#REF!</definedName>
    <definedName name="SPL.III_BDK_30" localSheetId="25">#REF!</definedName>
    <definedName name="SPL.III_PC" localSheetId="25">#REF!</definedName>
    <definedName name="SPL.IV_10X20" localSheetId="25">#REF!</definedName>
    <definedName name="SPL.IV_PORSEL" localSheetId="25">#REF!</definedName>
    <definedName name="SPL.V" localSheetId="25">#REF!</definedName>
    <definedName name="SPL.VIA" localSheetId="25">#REF!</definedName>
    <definedName name="SPL.VII_I" localSheetId="25">#REF!</definedName>
    <definedName name="SPL.VII_II" localSheetId="25">#REF!</definedName>
    <definedName name="SPL.VIII_ETER" localSheetId="25">#REF!</definedName>
    <definedName name="SPL.VIII_GAM" localSheetId="25">#REF!</definedName>
    <definedName name="SPL.VIII_TEAK" localSheetId="25">#REF!</definedName>
    <definedName name="SPL.VIII_TRIP" localSheetId="25">#REF!</definedName>
    <definedName name="SPL.X" localSheetId="25">#REF!</definedName>
    <definedName name="SPRAYER" localSheetId="25">#REF!</definedName>
    <definedName name="ss" localSheetId="25" hidden="1">#REF!</definedName>
    <definedName name="ssss" localSheetId="25">#REF!</definedName>
    <definedName name="STONECRUSHER" localSheetId="25">#REF!</definedName>
    <definedName name="T_1" localSheetId="25">#REF!</definedName>
    <definedName name="T_2" localSheetId="25">#REF!</definedName>
    <definedName name="Tabel" localSheetId="25">#REF!</definedName>
    <definedName name="Tabel_1" localSheetId="25">#REF!</definedName>
    <definedName name="tabel1" localSheetId="25">#REF!</definedName>
    <definedName name="TAMPER" localSheetId="25">#REF!</definedName>
    <definedName name="TANAH" localSheetId="25">#REF!</definedName>
    <definedName name="TANDEMROLLER" localSheetId="25">#REF!</definedName>
    <definedName name="TAS" localSheetId="25">#REF!</definedName>
    <definedName name="TEGEL" localSheetId="25">#REF!</definedName>
    <definedName name="THREEWHEELROLLER" localSheetId="25">#REF!</definedName>
    <definedName name="TIREROLLER" localSheetId="25">#REF!</definedName>
    <definedName name="tot" localSheetId="25">#REF!</definedName>
    <definedName name="TOTAL" localSheetId="25">#REF!</definedName>
    <definedName name="TRACKLOADER" localSheetId="25">#REF!</definedName>
    <definedName name="URAIAN323L" localSheetId="25">#REF!</definedName>
    <definedName name="URAIAN611" localSheetId="25">#REF!</definedName>
    <definedName name="URAIAN612" localSheetId="25">#REF!</definedName>
    <definedName name="URAIAN621" localSheetId="25">#REF!</definedName>
    <definedName name="URAIAN622" localSheetId="25">#REF!</definedName>
    <definedName name="URAIAN623" localSheetId="25">#REF!</definedName>
    <definedName name="URAIAN631" localSheetId="25">#REF!</definedName>
    <definedName name="URAIAN632" localSheetId="25">#REF!</definedName>
    <definedName name="URAIAN633" localSheetId="25">#REF!</definedName>
    <definedName name="URAIAN634" localSheetId="25">#REF!</definedName>
    <definedName name="URAIAN635" localSheetId="25">#REF!</definedName>
    <definedName name="URAIAN635A" localSheetId="25">#REF!</definedName>
    <definedName name="URAIAN636" localSheetId="25">#REF!</definedName>
    <definedName name="URAIAN641L" localSheetId="25">#REF!</definedName>
    <definedName name="URAIAN642" localSheetId="25">#REF!</definedName>
    <definedName name="URAIAN65" localSheetId="25">#REF!</definedName>
    <definedName name="URAIAN66PERATA" localSheetId="25">#REF!</definedName>
    <definedName name="URAIAN66PERMUKAAN" localSheetId="25">#REF!</definedName>
    <definedName name="URAIAN7101" localSheetId="25">#REF!</definedName>
    <definedName name="URAIAN7102" localSheetId="25">#REF!</definedName>
    <definedName name="URAIAN7103" localSheetId="25">#REF!</definedName>
    <definedName name="URAIAN711" localSheetId="25">#REF!</definedName>
    <definedName name="URAIAN712" localSheetId="25">#REF!</definedName>
    <definedName name="URAIAN713" localSheetId="25">#REF!</definedName>
    <definedName name="URAIAN714" localSheetId="25">#REF!</definedName>
    <definedName name="URAIAN715" localSheetId="25">#REF!</definedName>
    <definedName name="URAIAN716" localSheetId="25">#REF!</definedName>
    <definedName name="URAIAN717" localSheetId="25">#REF!</definedName>
    <definedName name="URAIAN718" localSheetId="25">#REF!</definedName>
    <definedName name="URAIAN721" localSheetId="25">#REF!</definedName>
    <definedName name="URAIAN731" localSheetId="25">#REF!</definedName>
    <definedName name="URAIAN732" localSheetId="25">#REF!</definedName>
    <definedName name="URAIAN733" localSheetId="25">#REF!</definedName>
    <definedName name="URAIAN734" localSheetId="25">#REF!</definedName>
    <definedName name="URAIAN735" localSheetId="25">#REF!</definedName>
    <definedName name="URAIAN744" localSheetId="25">#REF!</definedName>
    <definedName name="URAIAN745" localSheetId="25">#REF!</definedName>
    <definedName name="URAIAN7610" localSheetId="25">#REF!</definedName>
    <definedName name="URAIAN7612a" localSheetId="25">#REF!</definedName>
    <definedName name="URAIAN7612b" localSheetId="25">#REF!</definedName>
    <definedName name="URAIAN7612c" localSheetId="25">#REF!</definedName>
    <definedName name="URAIAN7613a" localSheetId="25">#REF!</definedName>
    <definedName name="URAIAN7613b" localSheetId="25">#REF!</definedName>
    <definedName name="URAIAN7613c" localSheetId="25">#REF!</definedName>
    <definedName name="URAIAN7614a" localSheetId="25">#REF!</definedName>
    <definedName name="URAIAN7614b" localSheetId="25">#REF!</definedName>
    <definedName name="URAIAN7614d" localSheetId="25">#REF!</definedName>
    <definedName name="URAIAN7614e" localSheetId="25">#REF!</definedName>
    <definedName name="URAIAN7618" localSheetId="25">#REF!</definedName>
    <definedName name="URAIAN7619" localSheetId="25">#REF!</definedName>
    <definedName name="URAIAN768" localSheetId="25">#REF!</definedName>
    <definedName name="URAIAN769" localSheetId="25">#REF!</definedName>
    <definedName name="URAIAN76x" localSheetId="25">#REF!</definedName>
    <definedName name="URAIAN771a" localSheetId="25">#REF!</definedName>
    <definedName name="URAIAN771b" localSheetId="25">#REF!</definedName>
    <definedName name="URAIAN771c" localSheetId="25">#REF!</definedName>
    <definedName name="URAIAN771d" localSheetId="25">#REF!</definedName>
    <definedName name="URAIAN772a" localSheetId="25">#REF!</definedName>
    <definedName name="URAIAN772b" localSheetId="25">#REF!</definedName>
    <definedName name="URAIAN772c" localSheetId="25">#REF!</definedName>
    <definedName name="URAIAN772d" localSheetId="25">#REF!</definedName>
    <definedName name="URAIAN79manual" localSheetId="25">#REF!</definedName>
    <definedName name="URAIAN79mekanis" localSheetId="25">#REF!</definedName>
    <definedName name="URAIAN811" localSheetId="25">#REF!</definedName>
    <definedName name="URAIAN812" localSheetId="25">#REF!</definedName>
    <definedName name="URAIAN813" localSheetId="25">#REF!</definedName>
    <definedName name="URAIAN814" localSheetId="25">#REF!</definedName>
    <definedName name="URAIAN815" localSheetId="25">#REF!</definedName>
    <definedName name="URAIAN817" localSheetId="25">#REF!</definedName>
    <definedName name="URAIAN818" localSheetId="25">#REF!</definedName>
    <definedName name="URAIAN819" localSheetId="25">#REF!</definedName>
    <definedName name="URAIAN82" localSheetId="25">#REF!</definedName>
    <definedName name="Uraian841" localSheetId="25">#REF!</definedName>
    <definedName name="Uraian8410" localSheetId="25">#REF!</definedName>
    <definedName name="Uraian842" localSheetId="25">#REF!</definedName>
    <definedName name="Uraian844" localSheetId="25">#REF!</definedName>
    <definedName name="Uraian845" localSheetId="25">#REF!</definedName>
    <definedName name="Uraian846" localSheetId="25">#REF!</definedName>
    <definedName name="Uraian847" localSheetId="25">#REF!</definedName>
    <definedName name="URAIANGEOTEKSTIL" localSheetId="25">#REF!</definedName>
    <definedName name="UTAIAN7614c" localSheetId="25">#REF!</definedName>
    <definedName name="VIBROROLLER" localSheetId="25">#REF!</definedName>
    <definedName name="voeg" localSheetId="25">#REF!</definedName>
    <definedName name="WATERPUMP" localSheetId="25">#REF!</definedName>
    <definedName name="WATERTANKER" localSheetId="25">#REF!</definedName>
    <definedName name="WHEELLOADER" localSheetId="25">#REF!</definedName>
    <definedName name="Z" localSheetId="25">#REF!</definedName>
    <definedName name="\X" localSheetId="26">#REF!</definedName>
    <definedName name="____________LLL01" localSheetId="26">#REF!</definedName>
    <definedName name="____________LLL02" localSheetId="26">#REF!</definedName>
    <definedName name="____________LLL03" localSheetId="26">#REF!</definedName>
    <definedName name="____________LLL04" localSheetId="26">#REF!</definedName>
    <definedName name="____________LLL05" localSheetId="26">#REF!</definedName>
    <definedName name="____________LLL06" localSheetId="26">#REF!</definedName>
    <definedName name="____________LLL07" localSheetId="26">#REF!</definedName>
    <definedName name="____________LLL08" localSheetId="26">#REF!</definedName>
    <definedName name="____________LLL09" localSheetId="26">#REF!</definedName>
    <definedName name="____________LLL10" localSheetId="26">#REF!</definedName>
    <definedName name="____________LLL11" localSheetId="26">#REF!</definedName>
    <definedName name="____________MMM01" localSheetId="26">#REF!</definedName>
    <definedName name="____________MMM02" localSheetId="26">#REF!</definedName>
    <definedName name="____________MMM03" localSheetId="26">#REF!</definedName>
    <definedName name="____________MMM04" localSheetId="26">#REF!</definedName>
    <definedName name="____________MMM05" localSheetId="26">#REF!</definedName>
    <definedName name="____________MMM06" localSheetId="26">#REF!</definedName>
    <definedName name="____________MMM07" localSheetId="26">#REF!</definedName>
    <definedName name="____________MMM08" localSheetId="26">#REF!</definedName>
    <definedName name="____________MMM09" localSheetId="26">#REF!</definedName>
    <definedName name="____________MMM10" localSheetId="26">#REF!</definedName>
    <definedName name="____________MMM11" localSheetId="26">#REF!</definedName>
    <definedName name="____________MMM12" localSheetId="26">#REF!</definedName>
    <definedName name="____________MMM13" localSheetId="26">#REF!</definedName>
    <definedName name="____________MMM14" localSheetId="26">#REF!</definedName>
    <definedName name="____________MMM15" localSheetId="26">#REF!</definedName>
    <definedName name="____________MMM16" localSheetId="26">#REF!</definedName>
    <definedName name="____________MMM17" localSheetId="26">#REF!</definedName>
    <definedName name="____________MMM18" localSheetId="26">#REF!</definedName>
    <definedName name="____________MMM19" localSheetId="26">#REF!</definedName>
    <definedName name="____________MMM20" localSheetId="26">#REF!</definedName>
    <definedName name="____________MMM21" localSheetId="26">#REF!</definedName>
    <definedName name="____________MMM22" localSheetId="26">#REF!</definedName>
    <definedName name="____________MMM23" localSheetId="26">#REF!</definedName>
    <definedName name="____________MMM24" localSheetId="26">#REF!</definedName>
    <definedName name="____________MMM25" localSheetId="26">#REF!</definedName>
    <definedName name="____________MMM26" localSheetId="26">#REF!</definedName>
    <definedName name="____________MMM27" localSheetId="26">#REF!</definedName>
    <definedName name="____________MMM28" localSheetId="26">#REF!</definedName>
    <definedName name="____________MMM29" localSheetId="26">#REF!</definedName>
    <definedName name="____________MMM30" localSheetId="26">#REF!</definedName>
    <definedName name="____________MMM31" localSheetId="26">#REF!</definedName>
    <definedName name="____________MMM32" localSheetId="26">#REF!</definedName>
    <definedName name="____________MMM33" localSheetId="26">#REF!</definedName>
    <definedName name="____________MMM34" localSheetId="26">#REF!</definedName>
    <definedName name="____________MMM35" localSheetId="26">#REF!</definedName>
    <definedName name="____________MMM36" localSheetId="26">#REF!</definedName>
    <definedName name="____________MMM37" localSheetId="26">#REF!</definedName>
    <definedName name="____________MMM38" localSheetId="26">#REF!</definedName>
    <definedName name="____________MMM39" localSheetId="26">#REF!</definedName>
    <definedName name="____________MMM40" localSheetId="26">#REF!</definedName>
    <definedName name="____________MMM41" localSheetId="26">#REF!</definedName>
    <definedName name="____________MMM411" localSheetId="26">#REF!</definedName>
    <definedName name="____________MMM42" localSheetId="26">#REF!</definedName>
    <definedName name="____________MMM43" localSheetId="26">#REF!</definedName>
    <definedName name="____________MMM44" localSheetId="26">#REF!</definedName>
    <definedName name="____________MMM45" localSheetId="26">#REF!</definedName>
    <definedName name="____________MMM46" localSheetId="26">#REF!</definedName>
    <definedName name="____________MMM47" localSheetId="26">#REF!</definedName>
    <definedName name="____________MMM48" localSheetId="26">#REF!</definedName>
    <definedName name="____________MMM49" localSheetId="26">#REF!</definedName>
    <definedName name="____________MMM50" localSheetId="26">#REF!</definedName>
    <definedName name="____________MMM51" localSheetId="26">#REF!</definedName>
    <definedName name="____________MMM52" localSheetId="26">#REF!</definedName>
    <definedName name="____________MMM53" localSheetId="26">#REF!</definedName>
    <definedName name="____________MMM54" localSheetId="26">#REF!</definedName>
    <definedName name="___________LLL01" localSheetId="26">#REF!</definedName>
    <definedName name="___________LLL02" localSheetId="26">#REF!</definedName>
    <definedName name="___________LLL03" localSheetId="26">#REF!</definedName>
    <definedName name="___________LLL04" localSheetId="26">#REF!</definedName>
    <definedName name="___________LLL05" localSheetId="26">#REF!</definedName>
    <definedName name="___________LLL06" localSheetId="26">#REF!</definedName>
    <definedName name="___________LLL07" localSheetId="26">#REF!</definedName>
    <definedName name="___________LLL08" localSheetId="26">#REF!</definedName>
    <definedName name="___________LLL09" localSheetId="26">#REF!</definedName>
    <definedName name="___________LLL10" localSheetId="26">#REF!</definedName>
    <definedName name="___________LLL11" localSheetId="26">#REF!</definedName>
    <definedName name="___________MMM01" localSheetId="26">#REF!</definedName>
    <definedName name="___________MMM02" localSheetId="26">#REF!</definedName>
    <definedName name="___________MMM03" localSheetId="26">#REF!</definedName>
    <definedName name="___________MMM04" localSheetId="26">#REF!</definedName>
    <definedName name="___________MMM05" localSheetId="26">#REF!</definedName>
    <definedName name="___________MMM06" localSheetId="26">#REF!</definedName>
    <definedName name="___________MMM07" localSheetId="26">#REF!</definedName>
    <definedName name="___________MMM08" localSheetId="26">#REF!</definedName>
    <definedName name="___________MMM09" localSheetId="26">#REF!</definedName>
    <definedName name="___________MMM10" localSheetId="26">#REF!</definedName>
    <definedName name="___________MMM11" localSheetId="26">#REF!</definedName>
    <definedName name="___________MMM12" localSheetId="26">#REF!</definedName>
    <definedName name="___________MMM13" localSheetId="26">#REF!</definedName>
    <definedName name="___________MMM14" localSheetId="26">#REF!</definedName>
    <definedName name="___________MMM15" localSheetId="26">#REF!</definedName>
    <definedName name="___________MMM16" localSheetId="26">#REF!</definedName>
    <definedName name="___________MMM17" localSheetId="26">#REF!</definedName>
    <definedName name="___________MMM18" localSheetId="26">#REF!</definedName>
    <definedName name="___________MMM19" localSheetId="26">#REF!</definedName>
    <definedName name="___________MMM20" localSheetId="26">#REF!</definedName>
    <definedName name="___________MMM21" localSheetId="26">#REF!</definedName>
    <definedName name="___________MMM22" localSheetId="26">#REF!</definedName>
    <definedName name="___________MMM23" localSheetId="26">#REF!</definedName>
    <definedName name="___________MMM24" localSheetId="26">#REF!</definedName>
    <definedName name="___________MMM25" localSheetId="26">#REF!</definedName>
    <definedName name="___________MMM26" localSheetId="26">#REF!</definedName>
    <definedName name="___________MMM27" localSheetId="26">#REF!</definedName>
    <definedName name="___________MMM28" localSheetId="26">#REF!</definedName>
    <definedName name="___________MMM29" localSheetId="26">#REF!</definedName>
    <definedName name="___________MMM30" localSheetId="26">#REF!</definedName>
    <definedName name="___________MMM31" localSheetId="26">#REF!</definedName>
    <definedName name="___________MMM32" localSheetId="26">#REF!</definedName>
    <definedName name="___________MMM33" localSheetId="26">#REF!</definedName>
    <definedName name="___________MMM34" localSheetId="26">#REF!</definedName>
    <definedName name="___________MMM35" localSheetId="26">#REF!</definedName>
    <definedName name="___________MMM36" localSheetId="26">#REF!</definedName>
    <definedName name="___________MMM37" localSheetId="26">#REF!</definedName>
    <definedName name="___________MMM38" localSheetId="26">#REF!</definedName>
    <definedName name="___________MMM39" localSheetId="26">#REF!</definedName>
    <definedName name="___________MMM40" localSheetId="26">#REF!</definedName>
    <definedName name="___________MMM41" localSheetId="26">#REF!</definedName>
    <definedName name="___________MMM411" localSheetId="26">#REF!</definedName>
    <definedName name="___________MMM42" localSheetId="26">#REF!</definedName>
    <definedName name="___________MMM43" localSheetId="26">#REF!</definedName>
    <definedName name="___________MMM44" localSheetId="26">#REF!</definedName>
    <definedName name="___________MMM45" localSheetId="26">#REF!</definedName>
    <definedName name="___________MMM46" localSheetId="26">#REF!</definedName>
    <definedName name="___________MMM47" localSheetId="26">#REF!</definedName>
    <definedName name="___________MMM48" localSheetId="26">#REF!</definedName>
    <definedName name="___________MMM49" localSheetId="26">#REF!</definedName>
    <definedName name="___________MMM50" localSheetId="26">#REF!</definedName>
    <definedName name="___________MMM51" localSheetId="26">#REF!</definedName>
    <definedName name="___________MMM52" localSheetId="26">#REF!</definedName>
    <definedName name="___________MMM53" localSheetId="26">#REF!</definedName>
    <definedName name="___________MMM54" localSheetId="26">#REF!</definedName>
    <definedName name="__________LLL01" localSheetId="26">#REF!</definedName>
    <definedName name="__________LLL02" localSheetId="26">#REF!</definedName>
    <definedName name="__________LLL03" localSheetId="26">#REF!</definedName>
    <definedName name="__________LLL04" localSheetId="26">#REF!</definedName>
    <definedName name="__________LLL05" localSheetId="26">#REF!</definedName>
    <definedName name="__________LLL06" localSheetId="26">#REF!</definedName>
    <definedName name="__________LLL07" localSheetId="26">#REF!</definedName>
    <definedName name="__________LLL08" localSheetId="26">#REF!</definedName>
    <definedName name="__________LLL09" localSheetId="26">#REF!</definedName>
    <definedName name="__________LLL10" localSheetId="26">#REF!</definedName>
    <definedName name="__________LLL11" localSheetId="26">#REF!</definedName>
    <definedName name="__________MMM01" localSheetId="26">#REF!</definedName>
    <definedName name="__________MMM02" localSheetId="26">#REF!</definedName>
    <definedName name="__________MMM03" localSheetId="26">#REF!</definedName>
    <definedName name="__________MMM04" localSheetId="26">#REF!</definedName>
    <definedName name="__________MMM05" localSheetId="26">#REF!</definedName>
    <definedName name="__________MMM06" localSheetId="26">#REF!</definedName>
    <definedName name="__________MMM07" localSheetId="26">#REF!</definedName>
    <definedName name="__________MMM08" localSheetId="26">#REF!</definedName>
    <definedName name="__________MMM09" localSheetId="26">#REF!</definedName>
    <definedName name="__________MMM10" localSheetId="26">#REF!</definedName>
    <definedName name="__________MMM11" localSheetId="26">#REF!</definedName>
    <definedName name="__________MMM12" localSheetId="26">#REF!</definedName>
    <definedName name="__________MMM13" localSheetId="26">#REF!</definedName>
    <definedName name="__________MMM14" localSheetId="26">#REF!</definedName>
    <definedName name="__________MMM15" localSheetId="26">#REF!</definedName>
    <definedName name="__________MMM16" localSheetId="26">#REF!</definedName>
    <definedName name="__________MMM17" localSheetId="26">#REF!</definedName>
    <definedName name="__________MMM18" localSheetId="26">#REF!</definedName>
    <definedName name="__________MMM19" localSheetId="26">#REF!</definedName>
    <definedName name="__________MMM20" localSheetId="26">#REF!</definedName>
    <definedName name="__________MMM21" localSheetId="26">#REF!</definedName>
    <definedName name="__________MMM22" localSheetId="26">#REF!</definedName>
    <definedName name="__________MMM23" localSheetId="26">#REF!</definedName>
    <definedName name="__________MMM24" localSheetId="26">#REF!</definedName>
    <definedName name="__________MMM25" localSheetId="26">#REF!</definedName>
    <definedName name="__________MMM26" localSheetId="26">#REF!</definedName>
    <definedName name="__________MMM27" localSheetId="26">#REF!</definedName>
    <definedName name="__________MMM28" localSheetId="26">#REF!</definedName>
    <definedName name="__________MMM29" localSheetId="26">#REF!</definedName>
    <definedName name="__________MMM30" localSheetId="26">#REF!</definedName>
    <definedName name="__________MMM31" localSheetId="26">#REF!</definedName>
    <definedName name="__________MMM32" localSheetId="26">#REF!</definedName>
    <definedName name="__________MMM33" localSheetId="26">#REF!</definedName>
    <definedName name="__________MMM34" localSheetId="26">#REF!</definedName>
    <definedName name="__________MMM35" localSheetId="26">#REF!</definedName>
    <definedName name="__________MMM36" localSheetId="26">#REF!</definedName>
    <definedName name="__________MMM37" localSheetId="26">#REF!</definedName>
    <definedName name="__________MMM38" localSheetId="26">#REF!</definedName>
    <definedName name="__________MMM39" localSheetId="26">#REF!</definedName>
    <definedName name="__________MMM40" localSheetId="26">#REF!</definedName>
    <definedName name="__________MMM41" localSheetId="26">#REF!</definedName>
    <definedName name="__________MMM411" localSheetId="26">#REF!</definedName>
    <definedName name="__________MMM42" localSheetId="26">#REF!</definedName>
    <definedName name="__________MMM43" localSheetId="26">#REF!</definedName>
    <definedName name="__________MMM44" localSheetId="26">#REF!</definedName>
    <definedName name="__________MMM45" localSheetId="26">#REF!</definedName>
    <definedName name="__________MMM46" localSheetId="26">#REF!</definedName>
    <definedName name="__________MMM47" localSheetId="26">#REF!</definedName>
    <definedName name="__________MMM48" localSheetId="26">#REF!</definedName>
    <definedName name="__________MMM49" localSheetId="26">#REF!</definedName>
    <definedName name="__________MMM50" localSheetId="26">#REF!</definedName>
    <definedName name="__________MMM51" localSheetId="26">#REF!</definedName>
    <definedName name="__________MMM52" localSheetId="26">#REF!</definedName>
    <definedName name="__________MMM53" localSheetId="26">#REF!</definedName>
    <definedName name="__________MMM54" localSheetId="26">#REF!</definedName>
    <definedName name="_________LLL01" localSheetId="26">#REF!</definedName>
    <definedName name="_________LLL02" localSheetId="26">#REF!</definedName>
    <definedName name="_________LLL03" localSheetId="26">#REF!</definedName>
    <definedName name="_________LLL04" localSheetId="26">#REF!</definedName>
    <definedName name="_________LLL05" localSheetId="26">#REF!</definedName>
    <definedName name="_________LLL06" localSheetId="26">#REF!</definedName>
    <definedName name="_________LLL07" localSheetId="26">#REF!</definedName>
    <definedName name="_________LLL08" localSheetId="26">#REF!</definedName>
    <definedName name="_________LLL09" localSheetId="26">#REF!</definedName>
    <definedName name="_________LLL10" localSheetId="26">#REF!</definedName>
    <definedName name="_________LLL11" localSheetId="26">#REF!</definedName>
    <definedName name="_________MMM01" localSheetId="26">#REF!</definedName>
    <definedName name="_________MMM02" localSheetId="26">#REF!</definedName>
    <definedName name="_________MMM03" localSheetId="26">#REF!</definedName>
    <definedName name="_________MMM04" localSheetId="26">#REF!</definedName>
    <definedName name="_________MMM05" localSheetId="26">#REF!</definedName>
    <definedName name="_________MMM06" localSheetId="26">#REF!</definedName>
    <definedName name="_________MMM07" localSheetId="26">#REF!</definedName>
    <definedName name="_________MMM08" localSheetId="26">#REF!</definedName>
    <definedName name="_________MMM09" localSheetId="26">#REF!</definedName>
    <definedName name="_________MMM10" localSheetId="26">#REF!</definedName>
    <definedName name="_________MMM11" localSheetId="26">#REF!</definedName>
    <definedName name="_________MMM12" localSheetId="26">#REF!</definedName>
    <definedName name="_________MMM13" localSheetId="26">#REF!</definedName>
    <definedName name="_________MMM14" localSheetId="26">#REF!</definedName>
    <definedName name="_________MMM15" localSheetId="26">#REF!</definedName>
    <definedName name="_________MMM16" localSheetId="26">#REF!</definedName>
    <definedName name="_________MMM17" localSheetId="26">#REF!</definedName>
    <definedName name="_________MMM18" localSheetId="26">#REF!</definedName>
    <definedName name="_________MMM19" localSheetId="26">#REF!</definedName>
    <definedName name="_________MMM20" localSheetId="26">#REF!</definedName>
    <definedName name="_________MMM21" localSheetId="26">#REF!</definedName>
    <definedName name="_________MMM22" localSheetId="26">#REF!</definedName>
    <definedName name="_________MMM23" localSheetId="26">#REF!</definedName>
    <definedName name="_________MMM24" localSheetId="26">#REF!</definedName>
    <definedName name="_________MMM25" localSheetId="26">#REF!</definedName>
    <definedName name="_________MMM26" localSheetId="26">#REF!</definedName>
    <definedName name="_________MMM27" localSheetId="26">#REF!</definedName>
    <definedName name="_________MMM28" localSheetId="26">#REF!</definedName>
    <definedName name="_________MMM29" localSheetId="26">#REF!</definedName>
    <definedName name="_________MMM30" localSheetId="26">#REF!</definedName>
    <definedName name="_________MMM31" localSheetId="26">#REF!</definedName>
    <definedName name="_________MMM32" localSheetId="26">#REF!</definedName>
    <definedName name="_________MMM33" localSheetId="26">#REF!</definedName>
    <definedName name="_________MMM34" localSheetId="26">#REF!</definedName>
    <definedName name="_________MMM35" localSheetId="26">#REF!</definedName>
    <definedName name="_________MMM36" localSheetId="26">#REF!</definedName>
    <definedName name="_________MMM37" localSheetId="26">#REF!</definedName>
    <definedName name="_________MMM38" localSheetId="26">#REF!</definedName>
    <definedName name="_________MMM39" localSheetId="26">#REF!</definedName>
    <definedName name="_________MMM40" localSheetId="26">#REF!</definedName>
    <definedName name="_________MMM41" localSheetId="26">#REF!</definedName>
    <definedName name="_________MMM411" localSheetId="26">#REF!</definedName>
    <definedName name="_________MMM42" localSheetId="26">#REF!</definedName>
    <definedName name="_________MMM43" localSheetId="26">#REF!</definedName>
    <definedName name="_________MMM44" localSheetId="26">#REF!</definedName>
    <definedName name="_________MMM45" localSheetId="26">#REF!</definedName>
    <definedName name="_________MMM46" localSheetId="26">#REF!</definedName>
    <definedName name="_________MMM47" localSheetId="26">#REF!</definedName>
    <definedName name="_________MMM48" localSheetId="26">#REF!</definedName>
    <definedName name="_________MMM49" localSheetId="26">#REF!</definedName>
    <definedName name="_________MMM50" localSheetId="26">#REF!</definedName>
    <definedName name="_________MMM51" localSheetId="26">#REF!</definedName>
    <definedName name="_________MMM52" localSheetId="26">#REF!</definedName>
    <definedName name="_________MMM53" localSheetId="26">#REF!</definedName>
    <definedName name="_________MMM54" localSheetId="26">#REF!</definedName>
    <definedName name="________LLL01" localSheetId="26">#REF!</definedName>
    <definedName name="________LLL02" localSheetId="26">#REF!</definedName>
    <definedName name="________LLL03" localSheetId="26">#REF!</definedName>
    <definedName name="________LLL04" localSheetId="26">#REF!</definedName>
    <definedName name="________LLL05" localSheetId="26">#REF!</definedName>
    <definedName name="________LLL06" localSheetId="26">#REF!</definedName>
    <definedName name="________LLL07" localSheetId="26">#REF!</definedName>
    <definedName name="________LLL08" localSheetId="26">#REF!</definedName>
    <definedName name="________LLL09" localSheetId="26">#REF!</definedName>
    <definedName name="________LLL10" localSheetId="26">#REF!</definedName>
    <definedName name="________LLL11" localSheetId="26">#REF!</definedName>
    <definedName name="________MMM01" localSheetId="26">#REF!</definedName>
    <definedName name="________MMM02" localSheetId="26">#REF!</definedName>
    <definedName name="________MMM03" localSheetId="26">#REF!</definedName>
    <definedName name="________MMM04" localSheetId="26">#REF!</definedName>
    <definedName name="________MMM05" localSheetId="26">#REF!</definedName>
    <definedName name="________MMM06" localSheetId="26">#REF!</definedName>
    <definedName name="________MMM07" localSheetId="26">#REF!</definedName>
    <definedName name="________MMM08" localSheetId="26">#REF!</definedName>
    <definedName name="________MMM09" localSheetId="26">#REF!</definedName>
    <definedName name="________MMM10" localSheetId="26">#REF!</definedName>
    <definedName name="________MMM11" localSheetId="26">#REF!</definedName>
    <definedName name="________MMM12" localSheetId="26">#REF!</definedName>
    <definedName name="________MMM13" localSheetId="26">#REF!</definedName>
    <definedName name="________MMM14" localSheetId="26">#REF!</definedName>
    <definedName name="________MMM15" localSheetId="26">#REF!</definedName>
    <definedName name="________MMM16" localSheetId="26">#REF!</definedName>
    <definedName name="________MMM17" localSheetId="26">#REF!</definedName>
    <definedName name="________MMM18" localSheetId="26">#REF!</definedName>
    <definedName name="________MMM19" localSheetId="26">#REF!</definedName>
    <definedName name="________MMM20" localSheetId="26">#REF!</definedName>
    <definedName name="________MMM21" localSheetId="26">#REF!</definedName>
    <definedName name="________MMM22" localSheetId="26">#REF!</definedName>
    <definedName name="________MMM23" localSheetId="26">#REF!</definedName>
    <definedName name="________MMM24" localSheetId="26">#REF!</definedName>
    <definedName name="________MMM25" localSheetId="26">#REF!</definedName>
    <definedName name="________MMM26" localSheetId="26">#REF!</definedName>
    <definedName name="________MMM27" localSheetId="26">#REF!</definedName>
    <definedName name="________MMM28" localSheetId="26">#REF!</definedName>
    <definedName name="________MMM29" localSheetId="26">#REF!</definedName>
    <definedName name="________MMM30" localSheetId="26">#REF!</definedName>
    <definedName name="________MMM31" localSheetId="26">#REF!</definedName>
    <definedName name="________MMM32" localSheetId="26">#REF!</definedName>
    <definedName name="________MMM33" localSheetId="26">#REF!</definedName>
    <definedName name="________MMM34" localSheetId="26">#REF!</definedName>
    <definedName name="________MMM35" localSheetId="26">#REF!</definedName>
    <definedName name="________MMM36" localSheetId="26">#REF!</definedName>
    <definedName name="________MMM37" localSheetId="26">#REF!</definedName>
    <definedName name="________MMM38" localSheetId="26">#REF!</definedName>
    <definedName name="________MMM39" localSheetId="26">#REF!</definedName>
    <definedName name="________MMM40" localSheetId="26">#REF!</definedName>
    <definedName name="________MMM41" localSheetId="26">#REF!</definedName>
    <definedName name="________MMM411" localSheetId="26">#REF!</definedName>
    <definedName name="________MMM42" localSheetId="26">#REF!</definedName>
    <definedName name="________MMM43" localSheetId="26">#REF!</definedName>
    <definedName name="________MMM44" localSheetId="26">#REF!</definedName>
    <definedName name="________MMM45" localSheetId="26">#REF!</definedName>
    <definedName name="________MMM46" localSheetId="26">#REF!</definedName>
    <definedName name="________MMM47" localSheetId="26">#REF!</definedName>
    <definedName name="________MMM48" localSheetId="26">#REF!</definedName>
    <definedName name="________MMM49" localSheetId="26">#REF!</definedName>
    <definedName name="________MMM50" localSheetId="26">#REF!</definedName>
    <definedName name="________MMM51" localSheetId="26">#REF!</definedName>
    <definedName name="________MMM52" localSheetId="26">#REF!</definedName>
    <definedName name="________MMM53" localSheetId="26">#REF!</definedName>
    <definedName name="________MMM54" localSheetId="26">#REF!</definedName>
    <definedName name="_______LLL01" localSheetId="26">#REF!</definedName>
    <definedName name="_______LLL02" localSheetId="26">#REF!</definedName>
    <definedName name="_______LLL03" localSheetId="26">#REF!</definedName>
    <definedName name="_______LLL04" localSheetId="26">#REF!</definedName>
    <definedName name="_______LLL05" localSheetId="26">#REF!</definedName>
    <definedName name="_______LLL06" localSheetId="26">#REF!</definedName>
    <definedName name="_______LLL07" localSheetId="26">#REF!</definedName>
    <definedName name="_______LLL08" localSheetId="26">#REF!</definedName>
    <definedName name="_______LLL09" localSheetId="26">#REF!</definedName>
    <definedName name="_______LLL10" localSheetId="26">#REF!</definedName>
    <definedName name="_______LLL11" localSheetId="26">#REF!</definedName>
    <definedName name="_______MMM01" localSheetId="26">#REF!</definedName>
    <definedName name="_______MMM02" localSheetId="26">#REF!</definedName>
    <definedName name="_______MMM03" localSheetId="26">#REF!</definedName>
    <definedName name="_______MMM04" localSheetId="26">#REF!</definedName>
    <definedName name="_______MMM05" localSheetId="26">#REF!</definedName>
    <definedName name="_______MMM06" localSheetId="26">#REF!</definedName>
    <definedName name="_______MMM07" localSheetId="26">#REF!</definedName>
    <definedName name="_______MMM08" localSheetId="26">#REF!</definedName>
    <definedName name="_______MMM09" localSheetId="26">#REF!</definedName>
    <definedName name="_______MMM10" localSheetId="26">#REF!</definedName>
    <definedName name="_______MMM11" localSheetId="26">#REF!</definedName>
    <definedName name="_______MMM12" localSheetId="26">#REF!</definedName>
    <definedName name="_______MMM13" localSheetId="26">#REF!</definedName>
    <definedName name="_______MMM14" localSheetId="26">#REF!</definedName>
    <definedName name="_______MMM15" localSheetId="26">#REF!</definedName>
    <definedName name="_______MMM16" localSheetId="26">#REF!</definedName>
    <definedName name="_______MMM17" localSheetId="26">#REF!</definedName>
    <definedName name="_______MMM18" localSheetId="26">#REF!</definedName>
    <definedName name="_______MMM19" localSheetId="26">#REF!</definedName>
    <definedName name="_______MMM20" localSheetId="26">#REF!</definedName>
    <definedName name="_______MMM21" localSheetId="26">#REF!</definedName>
    <definedName name="_______MMM22" localSheetId="26">#REF!</definedName>
    <definedName name="_______MMM23" localSheetId="26">#REF!</definedName>
    <definedName name="_______MMM24" localSheetId="26">#REF!</definedName>
    <definedName name="_______MMM25" localSheetId="26">#REF!</definedName>
    <definedName name="_______MMM26" localSheetId="26">#REF!</definedName>
    <definedName name="_______MMM27" localSheetId="26">#REF!</definedName>
    <definedName name="_______MMM28" localSheetId="26">#REF!</definedName>
    <definedName name="_______MMM29" localSheetId="26">#REF!</definedName>
    <definedName name="_______MMM30" localSheetId="26">#REF!</definedName>
    <definedName name="_______MMM31" localSheetId="26">#REF!</definedName>
    <definedName name="_______MMM32" localSheetId="26">#REF!</definedName>
    <definedName name="_______MMM33" localSheetId="26">#REF!</definedName>
    <definedName name="_______MMM34" localSheetId="26">#REF!</definedName>
    <definedName name="_______MMM35" localSheetId="26">#REF!</definedName>
    <definedName name="_______MMM36" localSheetId="26">#REF!</definedName>
    <definedName name="_______MMM37" localSheetId="26">#REF!</definedName>
    <definedName name="_______MMM38" localSheetId="26">#REF!</definedName>
    <definedName name="_______MMM39" localSheetId="26">#REF!</definedName>
    <definedName name="_______MMM40" localSheetId="26">#REF!</definedName>
    <definedName name="_______MMM41" localSheetId="26">#REF!</definedName>
    <definedName name="_______MMM411" localSheetId="26">#REF!</definedName>
    <definedName name="_______MMM42" localSheetId="26">#REF!</definedName>
    <definedName name="_______MMM43" localSheetId="26">#REF!</definedName>
    <definedName name="_______MMM44" localSheetId="26">#REF!</definedName>
    <definedName name="_______MMM45" localSheetId="26">#REF!</definedName>
    <definedName name="_______MMM46" localSheetId="26">#REF!</definedName>
    <definedName name="_______MMM47" localSheetId="26">#REF!</definedName>
    <definedName name="_______MMM48" localSheetId="26">#REF!</definedName>
    <definedName name="_______MMM49" localSheetId="26">#REF!</definedName>
    <definedName name="_______MMM50" localSheetId="26">#REF!</definedName>
    <definedName name="_______MMM51" localSheetId="26">#REF!</definedName>
    <definedName name="_______MMM52" localSheetId="26">#REF!</definedName>
    <definedName name="_______MMM53" localSheetId="26">#REF!</definedName>
    <definedName name="_______MMM54" localSheetId="26">#REF!</definedName>
    <definedName name="______LLL01" localSheetId="26">#REF!</definedName>
    <definedName name="______LLL02" localSheetId="26">#REF!</definedName>
    <definedName name="______LLL03" localSheetId="26">#REF!</definedName>
    <definedName name="______LLL04" localSheetId="26">#REF!</definedName>
    <definedName name="______LLL05" localSheetId="26">#REF!</definedName>
    <definedName name="______LLL06" localSheetId="26">#REF!</definedName>
    <definedName name="______LLL07" localSheetId="26">#REF!</definedName>
    <definedName name="______LLL08" localSheetId="26">#REF!</definedName>
    <definedName name="______LLL09" localSheetId="26">#REF!</definedName>
    <definedName name="______LLL10" localSheetId="26">#REF!</definedName>
    <definedName name="______LLL11" localSheetId="26">#REF!</definedName>
    <definedName name="______MMM01" localSheetId="26">#REF!</definedName>
    <definedName name="______MMM02" localSheetId="26">#REF!</definedName>
    <definedName name="______MMM03" localSheetId="26">#REF!</definedName>
    <definedName name="______MMM04" localSheetId="26">#REF!</definedName>
    <definedName name="______MMM05" localSheetId="26">#REF!</definedName>
    <definedName name="______MMM06" localSheetId="26">#REF!</definedName>
    <definedName name="______MMM07" localSheetId="26">#REF!</definedName>
    <definedName name="______MMM08" localSheetId="26">#REF!</definedName>
    <definedName name="______MMM09" localSheetId="26">#REF!</definedName>
    <definedName name="______MMM10" localSheetId="26">#REF!</definedName>
    <definedName name="______MMM11" localSheetId="26">#REF!</definedName>
    <definedName name="______MMM12" localSheetId="26">#REF!</definedName>
    <definedName name="______MMM13" localSheetId="26">#REF!</definedName>
    <definedName name="______MMM14" localSheetId="26">#REF!</definedName>
    <definedName name="______MMM15" localSheetId="26">#REF!</definedName>
    <definedName name="______MMM16" localSheetId="26">#REF!</definedName>
    <definedName name="______MMM17" localSheetId="26">#REF!</definedName>
    <definedName name="______MMM18" localSheetId="26">#REF!</definedName>
    <definedName name="______MMM19" localSheetId="26">#REF!</definedName>
    <definedName name="______MMM20" localSheetId="26">#REF!</definedName>
    <definedName name="______MMM21" localSheetId="26">#REF!</definedName>
    <definedName name="______MMM22" localSheetId="26">#REF!</definedName>
    <definedName name="______MMM23" localSheetId="26">#REF!</definedName>
    <definedName name="______MMM24" localSheetId="26">#REF!</definedName>
    <definedName name="______MMM25" localSheetId="26">#REF!</definedName>
    <definedName name="______MMM26" localSheetId="26">#REF!</definedName>
    <definedName name="______MMM27" localSheetId="26">#REF!</definedName>
    <definedName name="______MMM28" localSheetId="26">#REF!</definedName>
    <definedName name="______MMM29" localSheetId="26">#REF!</definedName>
    <definedName name="______MMM30" localSheetId="26">#REF!</definedName>
    <definedName name="______MMM31" localSheetId="26">#REF!</definedName>
    <definedName name="______MMM32" localSheetId="26">#REF!</definedName>
    <definedName name="______MMM33" localSheetId="26">#REF!</definedName>
    <definedName name="______MMM34" localSheetId="26">#REF!</definedName>
    <definedName name="______MMM35" localSheetId="26">#REF!</definedName>
    <definedName name="______MMM36" localSheetId="26">#REF!</definedName>
    <definedName name="______MMM37" localSheetId="26">#REF!</definedName>
    <definedName name="______MMM38" localSheetId="26">#REF!</definedName>
    <definedName name="______MMM39" localSheetId="26">#REF!</definedName>
    <definedName name="______MMM40" localSheetId="26">#REF!</definedName>
    <definedName name="______MMM41" localSheetId="26">#REF!</definedName>
    <definedName name="______MMM411" localSheetId="26">#REF!</definedName>
    <definedName name="______MMM42" localSheetId="26">#REF!</definedName>
    <definedName name="______MMM43" localSheetId="26">#REF!</definedName>
    <definedName name="______MMM44" localSheetId="26">#REF!</definedName>
    <definedName name="______MMM45" localSheetId="26">#REF!</definedName>
    <definedName name="______MMM46" localSheetId="26">#REF!</definedName>
    <definedName name="______MMM47" localSheetId="26">#REF!</definedName>
    <definedName name="______MMM48" localSheetId="26">#REF!</definedName>
    <definedName name="______MMM49" localSheetId="26">#REF!</definedName>
    <definedName name="______MMM50" localSheetId="26">#REF!</definedName>
    <definedName name="______MMM51" localSheetId="26">#REF!</definedName>
    <definedName name="______MMM52" localSheetId="26">#REF!</definedName>
    <definedName name="______MMM53" localSheetId="26">#REF!</definedName>
    <definedName name="______MMM54" localSheetId="26">#REF!</definedName>
    <definedName name="_____LLL01" localSheetId="26">#REF!</definedName>
    <definedName name="_____LLL02" localSheetId="26">#REF!</definedName>
    <definedName name="_____LLL03" localSheetId="26">#REF!</definedName>
    <definedName name="_____LLL04" localSheetId="26">#REF!</definedName>
    <definedName name="_____LLL05" localSheetId="26">#REF!</definedName>
    <definedName name="_____LLL06" localSheetId="26">#REF!</definedName>
    <definedName name="_____LLL07" localSheetId="26">#REF!</definedName>
    <definedName name="_____LLL08" localSheetId="26">#REF!</definedName>
    <definedName name="_____LLL09" localSheetId="26">#REF!</definedName>
    <definedName name="_____LLL10" localSheetId="26">#REF!</definedName>
    <definedName name="_____LLL11" localSheetId="26">#REF!</definedName>
    <definedName name="_____MMM01" localSheetId="26">#REF!</definedName>
    <definedName name="_____MMM02" localSheetId="26">#REF!</definedName>
    <definedName name="_____MMM03" localSheetId="26">#REF!</definedName>
    <definedName name="_____MMM04" localSheetId="26">#REF!</definedName>
    <definedName name="_____MMM05" localSheetId="26">#REF!</definedName>
    <definedName name="_____MMM06" localSheetId="26">#REF!</definedName>
    <definedName name="_____MMM07" localSheetId="26">#REF!</definedName>
    <definedName name="_____MMM08" localSheetId="26">#REF!</definedName>
    <definedName name="_____MMM09" localSheetId="26">#REF!</definedName>
    <definedName name="_____MMM10" localSheetId="26">#REF!</definedName>
    <definedName name="_____MMM11" localSheetId="26">#REF!</definedName>
    <definedName name="_____MMM12" localSheetId="26">#REF!</definedName>
    <definedName name="_____MMM13" localSheetId="26">#REF!</definedName>
    <definedName name="_____MMM14" localSheetId="26">#REF!</definedName>
    <definedName name="_____MMM15" localSheetId="26">#REF!</definedName>
    <definedName name="_____MMM16" localSheetId="26">#REF!</definedName>
    <definedName name="_____MMM17" localSheetId="26">#REF!</definedName>
    <definedName name="_____MMM18" localSheetId="26">#REF!</definedName>
    <definedName name="_____MMM19" localSheetId="26">#REF!</definedName>
    <definedName name="_____MMM20" localSheetId="26">#REF!</definedName>
    <definedName name="_____MMM21" localSheetId="26">#REF!</definedName>
    <definedName name="_____MMM22" localSheetId="26">#REF!</definedName>
    <definedName name="_____MMM23" localSheetId="26">#REF!</definedName>
    <definedName name="_____MMM24" localSheetId="26">#REF!</definedName>
    <definedName name="_____MMM25" localSheetId="26">#REF!</definedName>
    <definedName name="_____MMM26" localSheetId="26">#REF!</definedName>
    <definedName name="_____MMM27" localSheetId="26">#REF!</definedName>
    <definedName name="_____MMM28" localSheetId="26">#REF!</definedName>
    <definedName name="_____MMM29" localSheetId="26">#REF!</definedName>
    <definedName name="_____MMM30" localSheetId="26">#REF!</definedName>
    <definedName name="_____MMM31" localSheetId="26">#REF!</definedName>
    <definedName name="_____MMM32" localSheetId="26">#REF!</definedName>
    <definedName name="_____MMM33" localSheetId="26">#REF!</definedName>
    <definedName name="_____MMM34" localSheetId="26">#REF!</definedName>
    <definedName name="_____MMM35" localSheetId="26">#REF!</definedName>
    <definedName name="_____MMM36" localSheetId="26">#REF!</definedName>
    <definedName name="_____MMM37" localSheetId="26">#REF!</definedName>
    <definedName name="_____MMM38" localSheetId="26">#REF!</definedName>
    <definedName name="_____MMM39" localSheetId="26">#REF!</definedName>
    <definedName name="_____MMM40" localSheetId="26">#REF!</definedName>
    <definedName name="_____MMM41" localSheetId="26">#REF!</definedName>
    <definedName name="_____MMM411" localSheetId="26">#REF!</definedName>
    <definedName name="_____MMM42" localSheetId="26">#REF!</definedName>
    <definedName name="_____MMM43" localSheetId="26">#REF!</definedName>
    <definedName name="_____MMM44" localSheetId="26">#REF!</definedName>
    <definedName name="_____MMM45" localSheetId="26">#REF!</definedName>
    <definedName name="_____MMM46" localSheetId="26">#REF!</definedName>
    <definedName name="_____MMM47" localSheetId="26">#REF!</definedName>
    <definedName name="_____MMM48" localSheetId="26">#REF!</definedName>
    <definedName name="_____MMM49" localSheetId="26">#REF!</definedName>
    <definedName name="_____MMM50" localSheetId="26">#REF!</definedName>
    <definedName name="_____MMM51" localSheetId="26">#REF!</definedName>
    <definedName name="_____MMM52" localSheetId="26">#REF!</definedName>
    <definedName name="_____MMM53" localSheetId="26">#REF!</definedName>
    <definedName name="_____MMM54" localSheetId="26">#REF!</definedName>
    <definedName name="____LLL01" localSheetId="26">#REF!</definedName>
    <definedName name="____LLL02" localSheetId="26">#REF!</definedName>
    <definedName name="____LLL03" localSheetId="26">#REF!</definedName>
    <definedName name="____LLL04" localSheetId="26">#REF!</definedName>
    <definedName name="____LLL05" localSheetId="26">#REF!</definedName>
    <definedName name="____LLL06" localSheetId="26">#REF!</definedName>
    <definedName name="____LLL07" localSheetId="26">#REF!</definedName>
    <definedName name="____LLL08" localSheetId="26">#REF!</definedName>
    <definedName name="____LLL09" localSheetId="26">#REF!</definedName>
    <definedName name="____LLL10" localSheetId="26">#REF!</definedName>
    <definedName name="____LLL11" localSheetId="26">#REF!</definedName>
    <definedName name="____MMM01" localSheetId="26">#REF!</definedName>
    <definedName name="____MMM02" localSheetId="26">#REF!</definedName>
    <definedName name="____MMM03" localSheetId="26">#REF!</definedName>
    <definedName name="____MMM04" localSheetId="26">#REF!</definedName>
    <definedName name="____MMM05" localSheetId="26">#REF!</definedName>
    <definedName name="____MMM06" localSheetId="26">#REF!</definedName>
    <definedName name="____MMM07" localSheetId="26">#REF!</definedName>
    <definedName name="____MMM08" localSheetId="26">#REF!</definedName>
    <definedName name="____MMM09" localSheetId="26">#REF!</definedName>
    <definedName name="____MMM10" localSheetId="26">#REF!</definedName>
    <definedName name="____MMM11" localSheetId="26">#REF!</definedName>
    <definedName name="____MMM12" localSheetId="26">#REF!</definedName>
    <definedName name="____MMM13" localSheetId="26">#REF!</definedName>
    <definedName name="____MMM14" localSheetId="26">#REF!</definedName>
    <definedName name="____MMM15" localSheetId="26">#REF!</definedName>
    <definedName name="____MMM16" localSheetId="26">#REF!</definedName>
    <definedName name="____MMM17" localSheetId="26">#REF!</definedName>
    <definedName name="____MMM18" localSheetId="26">#REF!</definedName>
    <definedName name="____MMM19" localSheetId="26">#REF!</definedName>
    <definedName name="____MMM20" localSheetId="26">#REF!</definedName>
    <definedName name="____MMM21" localSheetId="26">#REF!</definedName>
    <definedName name="____MMM22" localSheetId="26">#REF!</definedName>
    <definedName name="____MMM23" localSheetId="26">#REF!</definedName>
    <definedName name="____MMM24" localSheetId="26">#REF!</definedName>
    <definedName name="____MMM25" localSheetId="26">#REF!</definedName>
    <definedName name="____MMM26" localSheetId="26">#REF!</definedName>
    <definedName name="____MMM27" localSheetId="26">#REF!</definedName>
    <definedName name="____MMM28" localSheetId="26">#REF!</definedName>
    <definedName name="____MMM29" localSheetId="26">#REF!</definedName>
    <definedName name="____MMM30" localSheetId="26">#REF!</definedName>
    <definedName name="____MMM31" localSheetId="26">#REF!</definedName>
    <definedName name="____MMM32" localSheetId="26">#REF!</definedName>
    <definedName name="____MMM33" localSheetId="26">#REF!</definedName>
    <definedName name="____MMM34" localSheetId="26">#REF!</definedName>
    <definedName name="____MMM35" localSheetId="26">#REF!</definedName>
    <definedName name="____MMM36" localSheetId="26">#REF!</definedName>
    <definedName name="____MMM37" localSheetId="26">#REF!</definedName>
    <definedName name="____MMM38" localSheetId="26">#REF!</definedName>
    <definedName name="____MMM39" localSheetId="26">#REF!</definedName>
    <definedName name="____MMM40" localSheetId="26">#REF!</definedName>
    <definedName name="____MMM41" localSheetId="26">#REF!</definedName>
    <definedName name="____MMM411" localSheetId="26">#REF!</definedName>
    <definedName name="____MMM42" localSheetId="26">#REF!</definedName>
    <definedName name="____MMM43" localSheetId="26">#REF!</definedName>
    <definedName name="____MMM44" localSheetId="26">#REF!</definedName>
    <definedName name="____MMM45" localSheetId="26">#REF!</definedName>
    <definedName name="____MMM46" localSheetId="26">#REF!</definedName>
    <definedName name="____MMM47" localSheetId="26">#REF!</definedName>
    <definedName name="____MMM48" localSheetId="26">#REF!</definedName>
    <definedName name="____MMM49" localSheetId="26">#REF!</definedName>
    <definedName name="____MMM50" localSheetId="26">#REF!</definedName>
    <definedName name="____MMM51" localSheetId="26">#REF!</definedName>
    <definedName name="____MMM52" localSheetId="26">#REF!</definedName>
    <definedName name="____MMM53" localSheetId="26">#REF!</definedName>
    <definedName name="____MMM54" localSheetId="26">#REF!</definedName>
    <definedName name="___MDE26" localSheetId="26">#REF!</definedName>
    <definedName name="___ME26" localSheetId="26">#REF!</definedName>
    <definedName name="__HAL1" localSheetId="26">#REF!</definedName>
    <definedName name="__MDE26" localSheetId="26">#REF!</definedName>
    <definedName name="__ME26" localSheetId="26">#REF!</definedName>
    <definedName name="__sp606" localSheetId="26">#REF!</definedName>
    <definedName name="_110" localSheetId="26">#REF!</definedName>
    <definedName name="_210" localSheetId="26">#REF!</definedName>
    <definedName name="_224" localSheetId="26">#REF!</definedName>
    <definedName name="_225" localSheetId="26">#REF!</definedName>
    <definedName name="_310" localSheetId="26">#REF!</definedName>
    <definedName name="_410" localSheetId="26">#REF!</definedName>
    <definedName name="_424" localSheetId="26">#REF!</definedName>
    <definedName name="_514" localSheetId="26">#REF!</definedName>
    <definedName name="_705" localSheetId="26">#REF!</definedName>
    <definedName name="_EEE01" localSheetId="26">#REF!</definedName>
    <definedName name="_EEE03" localSheetId="26">#REF!</definedName>
    <definedName name="_EEE04" localSheetId="26">#REF!</definedName>
    <definedName name="_EEE12" localSheetId="26">#REF!</definedName>
    <definedName name="_EEE14" localSheetId="26">#REF!</definedName>
    <definedName name="_EEE15" localSheetId="26">#REF!</definedName>
    <definedName name="_EEE18" localSheetId="26">#REF!</definedName>
    <definedName name="_EEE19" localSheetId="26">#REF!</definedName>
    <definedName name="_EEE20" localSheetId="26">#REF!</definedName>
    <definedName name="_EEE21" localSheetId="26">#REF!</definedName>
    <definedName name="_EEE22" localSheetId="26">#REF!</definedName>
    <definedName name="_EEE24" localSheetId="26">#REF!</definedName>
    <definedName name="_EEE25" localSheetId="26">#REF!</definedName>
    <definedName name="_EEE26" localSheetId="26">#REF!</definedName>
    <definedName name="_EEE28" localSheetId="26">#REF!</definedName>
    <definedName name="_EEE30" localSheetId="26">#REF!</definedName>
    <definedName name="_EEE32" localSheetId="26">#REF!</definedName>
    <definedName name="_EEE33" localSheetId="26">#REF!</definedName>
    <definedName name="_Fill" localSheetId="26" hidden="1">#REF!</definedName>
    <definedName name="_HAL1" localSheetId="26">#REF!</definedName>
    <definedName name="_Key1" localSheetId="26" hidden="1">#REF!</definedName>
    <definedName name="_Key2" localSheetId="26" hidden="1">#REF!</definedName>
    <definedName name="_MDE26" localSheetId="26">#REF!</definedName>
    <definedName name="_ME26" localSheetId="26">#REF!</definedName>
    <definedName name="_Sort" localSheetId="26" hidden="1">#REF!</definedName>
    <definedName name="_sp606" localSheetId="26">#REF!</definedName>
    <definedName name="_Table1_In1" localSheetId="26" hidden="1">#REF!</definedName>
    <definedName name="_Table1_Out" localSheetId="26" hidden="1">#REF!</definedName>
    <definedName name="_Table2_In1" localSheetId="26" hidden="1">#REF!</definedName>
    <definedName name="_Table2_In2" localSheetId="26" hidden="1">#REF!</definedName>
    <definedName name="_Table2_Out" localSheetId="26" hidden="1">#REF!</definedName>
    <definedName name="A.1" localSheetId="26">#REF!</definedName>
    <definedName name="A.16" localSheetId="26">#REF!</definedName>
    <definedName name="A.18_PASIR" localSheetId="26">#REF!</definedName>
    <definedName name="A.18_TANAH" localSheetId="26">#REF!</definedName>
    <definedName name="A.2" localSheetId="26">#REF!</definedName>
    <definedName name="A.4" localSheetId="26">#REF!</definedName>
    <definedName name="A_1" localSheetId="26">#REF!</definedName>
    <definedName name="AAA" localSheetId="26">#REF!</definedName>
    <definedName name="adsdsd" localSheetId="26">#REF!</definedName>
    <definedName name="alat" localSheetId="26">#REF!</definedName>
    <definedName name="ALATUTAMA" localSheetId="26">#REF!</definedName>
    <definedName name="AMP" localSheetId="26">#REF!</definedName>
    <definedName name="AN.1" localSheetId="26">#REF!</definedName>
    <definedName name="april" localSheetId="26">#REF!</definedName>
    <definedName name="asdasd" localSheetId="26">#REF!</definedName>
    <definedName name="ATAP" localSheetId="26">#REF!</definedName>
    <definedName name="bb" localSheetId="26">#REF!</definedName>
    <definedName name="bbb" localSheetId="26">#REF!</definedName>
    <definedName name="BET_NON_STRUK" localSheetId="26">#REF!</definedName>
    <definedName name="bhn" localSheetId="26">#REF!</definedName>
    <definedName name="BHN.MAROS" localSheetId="26">#REF!</definedName>
    <definedName name="bhn.maros1" localSheetId="26">#REF!</definedName>
    <definedName name="bhn.pangkep" localSheetId="26">#REF!</definedName>
    <definedName name="bnb" localSheetId="26">#REF!</definedName>
    <definedName name="BULLDOZER" localSheetId="26">#REF!</definedName>
    <definedName name="CAT" localSheetId="26">#REF!</definedName>
    <definedName name="CCCC" localSheetId="26" hidden="1">#REF!</definedName>
    <definedName name="COMPRESSOR" localSheetId="26">#REF!</definedName>
    <definedName name="CONCRETEMIXER" localSheetId="26">#REF!</definedName>
    <definedName name="CONCRETEVIBRO" localSheetId="26">#REF!</definedName>
    <definedName name="CRANE" localSheetId="26">#REF!</definedName>
    <definedName name="D" localSheetId="26">#REF!</definedName>
    <definedName name="DAFTARSEWA" localSheetId="26">#REF!</definedName>
    <definedName name="dd" localSheetId="26" hidden="1">#REF!</definedName>
    <definedName name="dddd" localSheetId="26" hidden="1">#REF!</definedName>
    <definedName name="deuicker" localSheetId="26">#REF!</definedName>
    <definedName name="Dibuat_tgl" localSheetId="26">#REF!</definedName>
    <definedName name="DINDING" localSheetId="26">#REF!</definedName>
    <definedName name="Disiapkan_oleh" localSheetId="26">#REF!</definedName>
    <definedName name="DUMPTRUCK1" localSheetId="26">#REF!</definedName>
    <definedName name="DUMPTRUCK2" localSheetId="26">#REF!</definedName>
    <definedName name="E.13" localSheetId="26">#REF!</definedName>
    <definedName name="E_001" localSheetId="26">#REF!</definedName>
    <definedName name="E_010" localSheetId="26">#REF!</definedName>
    <definedName name="E_031" localSheetId="26">#REF!</definedName>
    <definedName name="E_040" localSheetId="26">#REF!</definedName>
    <definedName name="E_052" localSheetId="26">#REF!</definedName>
    <definedName name="E_080" localSheetId="26">#REF!</definedName>
    <definedName name="E_081" localSheetId="26">#REF!</definedName>
    <definedName name="E_084" localSheetId="26">#REF!</definedName>
    <definedName name="E_087" localSheetId="26">#REF!</definedName>
    <definedName name="E_088" localSheetId="26">#REF!</definedName>
    <definedName name="E_089" localSheetId="26">#REF!</definedName>
    <definedName name="E_13" localSheetId="26">#REF!</definedName>
    <definedName name="E_153" localSheetId="26">#REF!</definedName>
    <definedName name="E_154" localSheetId="26">#REF!</definedName>
    <definedName name="E_155" localSheetId="26">#REF!</definedName>
    <definedName name="E_157" localSheetId="26">#REF!</definedName>
    <definedName name="E_182" localSheetId="26">#REF!</definedName>
    <definedName name="E_211" localSheetId="26">#REF!</definedName>
    <definedName name="E_212" localSheetId="26">#REF!</definedName>
    <definedName name="E_221" localSheetId="26">#REF!</definedName>
    <definedName name="E_251" localSheetId="26">#REF!</definedName>
    <definedName name="E_253" localSheetId="26">#REF!</definedName>
    <definedName name="E_301" localSheetId="26">#REF!</definedName>
    <definedName name="E_341" localSheetId="26">#REF!</definedName>
    <definedName name="EXCAVATOR" localSheetId="26">#REF!</definedName>
    <definedName name="F.1_I" localSheetId="26">#REF!</definedName>
    <definedName name="F.1_II" localSheetId="26">#REF!</definedName>
    <definedName name="F.16" localSheetId="26">#REF!</definedName>
    <definedName name="F.21_I" localSheetId="26">#REF!</definedName>
    <definedName name="F.21_II" localSheetId="26">#REF!</definedName>
    <definedName name="F.22_I" localSheetId="26">#REF!</definedName>
    <definedName name="F.22_II" localSheetId="26">#REF!</definedName>
    <definedName name="F.27_I" localSheetId="26">#REF!</definedName>
    <definedName name="F.27_II" localSheetId="26">#REF!</definedName>
    <definedName name="F.30_I_TEAK" localSheetId="26">#REF!</definedName>
    <definedName name="F.30_I_TRIP" localSheetId="26">#REF!</definedName>
    <definedName name="F.30_II_TEAK" localSheetId="26">#REF!</definedName>
    <definedName name="F.30_II_TRIP" localSheetId="26">#REF!</definedName>
    <definedName name="F.31_I" localSheetId="26">#REF!</definedName>
    <definedName name="F.31_II" localSheetId="26">#REF!</definedName>
    <definedName name="F.33_I" localSheetId="26">#REF!</definedName>
    <definedName name="F.33_II" localSheetId="26">#REF!</definedName>
    <definedName name="F.35_B3" localSheetId="26">#REF!</definedName>
    <definedName name="F.35_B5" localSheetId="26">#REF!</definedName>
    <definedName name="F.35_R3" localSheetId="26">#REF!</definedName>
    <definedName name="F.35_R5" localSheetId="26">#REF!</definedName>
    <definedName name="F.36_B_I" localSheetId="26">#REF!</definedName>
    <definedName name="F.36_B_II" localSheetId="26">#REF!</definedName>
    <definedName name="F.36_R_I" localSheetId="26">#REF!</definedName>
    <definedName name="F.36_R_II" localSheetId="26">#REF!</definedName>
    <definedName name="F.36A_I" localSheetId="26">#REF!</definedName>
    <definedName name="F.36A_II" localSheetId="26">#REF!</definedName>
    <definedName name="F.37_P_I" localSheetId="26">#REF!</definedName>
    <definedName name="F.37_P_II" localSheetId="26">#REF!</definedName>
    <definedName name="F.37_T" localSheetId="26">#REF!</definedName>
    <definedName name="F.37_TEAK" localSheetId="26">#REF!</definedName>
    <definedName name="F.38_I" localSheetId="26">#REF!</definedName>
    <definedName name="F.38_II" localSheetId="26">#REF!</definedName>
    <definedName name="F.47_I" localSheetId="26">#REF!</definedName>
    <definedName name="F.47_II" localSheetId="26">#REF!</definedName>
    <definedName name="FFF" localSheetId="26">#REF!</definedName>
    <definedName name="FINISHER" localSheetId="26">#REF!</definedName>
    <definedName name="FINISHING" localSheetId="26">#REF!</definedName>
    <definedName name="FLATBEDTRUCK" localSheetId="26">#REF!</definedName>
    <definedName name="FORM323L" localSheetId="26">#REF!</definedName>
    <definedName name="FORM611" localSheetId="26">#REF!</definedName>
    <definedName name="FORM612" localSheetId="26">#REF!</definedName>
    <definedName name="FORM621" localSheetId="26">#REF!</definedName>
    <definedName name="FORM622" localSheetId="26">#REF!</definedName>
    <definedName name="FORM623" localSheetId="26">#REF!</definedName>
    <definedName name="FORM631" localSheetId="26">#REF!</definedName>
    <definedName name="FORM632" localSheetId="26">#REF!</definedName>
    <definedName name="FORM633" localSheetId="26">#REF!</definedName>
    <definedName name="FORM634" localSheetId="26">#REF!</definedName>
    <definedName name="FORM635" localSheetId="26">#REF!</definedName>
    <definedName name="FORM635A" localSheetId="26">#REF!</definedName>
    <definedName name="FORM636" localSheetId="26">#REF!</definedName>
    <definedName name="FORM641L" localSheetId="26">#REF!</definedName>
    <definedName name="FORM642" localSheetId="26">#REF!</definedName>
    <definedName name="FORM65" localSheetId="26">#REF!</definedName>
    <definedName name="FORM66PERATA" localSheetId="26">#REF!</definedName>
    <definedName name="FORM66PERMUKAAN" localSheetId="26">#REF!</definedName>
    <definedName name="FORM7101" localSheetId="26">#REF!</definedName>
    <definedName name="FORM7102" localSheetId="26">#REF!</definedName>
    <definedName name="FORM7103" localSheetId="26">#REF!</definedName>
    <definedName name="FORM711" localSheetId="26">#REF!</definedName>
    <definedName name="FORM712" localSheetId="26">#REF!</definedName>
    <definedName name="FORM713" localSheetId="26">#REF!</definedName>
    <definedName name="FORM714" localSheetId="26">#REF!</definedName>
    <definedName name="FORM715" localSheetId="26">#REF!</definedName>
    <definedName name="FORM716" localSheetId="26">#REF!</definedName>
    <definedName name="FORM717" localSheetId="26">#REF!</definedName>
    <definedName name="FORM718" localSheetId="26">#REF!</definedName>
    <definedName name="FORM721" localSheetId="26">#REF!</definedName>
    <definedName name="FORM731" localSheetId="26">#REF!</definedName>
    <definedName name="FORM732" localSheetId="26">#REF!</definedName>
    <definedName name="FORM733" localSheetId="26">#REF!</definedName>
    <definedName name="FORM734" localSheetId="26">#REF!</definedName>
    <definedName name="FORM735" localSheetId="26">#REF!</definedName>
    <definedName name="FORM744" localSheetId="26">#REF!</definedName>
    <definedName name="FORM745" localSheetId="26">#REF!</definedName>
    <definedName name="FORM7610" localSheetId="26">#REF!</definedName>
    <definedName name="FORM7612a" localSheetId="26">#REF!</definedName>
    <definedName name="FORM7612b" localSheetId="26">#REF!</definedName>
    <definedName name="FORM7612c" localSheetId="26">#REF!</definedName>
    <definedName name="FORM7613a" localSheetId="26">#REF!</definedName>
    <definedName name="FORM7613b" localSheetId="26">#REF!</definedName>
    <definedName name="FORM7613c" localSheetId="26">#REF!</definedName>
    <definedName name="FORM7614a" localSheetId="26">#REF!</definedName>
    <definedName name="FORM7614b" localSheetId="26">#REF!</definedName>
    <definedName name="FORM7614c" localSheetId="26">#REF!</definedName>
    <definedName name="FORM7614d" localSheetId="26">#REF!</definedName>
    <definedName name="FORM7614e" localSheetId="26">#REF!</definedName>
    <definedName name="FORM7618" localSheetId="26">#REF!</definedName>
    <definedName name="FORM7619" localSheetId="26">#REF!</definedName>
    <definedName name="FORM768" localSheetId="26">#REF!</definedName>
    <definedName name="FORM769" localSheetId="26">#REF!</definedName>
    <definedName name="FORM76X" localSheetId="26">#REF!</definedName>
    <definedName name="FORM771a" localSheetId="26">#REF!</definedName>
    <definedName name="FORM771b" localSheetId="26">#REF!</definedName>
    <definedName name="FORM771c" localSheetId="26">#REF!</definedName>
    <definedName name="FORM771d" localSheetId="26">#REF!</definedName>
    <definedName name="FORM772a" localSheetId="26">#REF!</definedName>
    <definedName name="FORM772b" localSheetId="26">#REF!</definedName>
    <definedName name="FORM772c" localSheetId="26">#REF!</definedName>
    <definedName name="FORM772d" localSheetId="26">#REF!</definedName>
    <definedName name="FORM79manual" localSheetId="26">#REF!</definedName>
    <definedName name="FORM79mekanis" localSheetId="26">#REF!</definedName>
    <definedName name="FORM811" localSheetId="26">#REF!</definedName>
    <definedName name="FORM812" localSheetId="26">#REF!</definedName>
    <definedName name="FORM813" localSheetId="26">#REF!</definedName>
    <definedName name="FORM814" localSheetId="26">#REF!</definedName>
    <definedName name="FORM815" localSheetId="26">#REF!</definedName>
    <definedName name="FORM817" localSheetId="26">#REF!</definedName>
    <definedName name="FORM818" localSheetId="26">#REF!</definedName>
    <definedName name="FORM819" localSheetId="26">#REF!</definedName>
    <definedName name="FORM82" localSheetId="26">#REF!</definedName>
    <definedName name="FORM841" localSheetId="26">#REF!</definedName>
    <definedName name="FORM8410" localSheetId="26">#REF!</definedName>
    <definedName name="FORM842" localSheetId="26">#REF!</definedName>
    <definedName name="FORM844" localSheetId="26">#REF!</definedName>
    <definedName name="FORM845" localSheetId="26">#REF!</definedName>
    <definedName name="FORM846" localSheetId="26">#REF!</definedName>
    <definedName name="FORM847" localSheetId="26">#REF!</definedName>
    <definedName name="FORMGEOTEKSTIL" localSheetId="26">#REF!</definedName>
    <definedName name="FRRDS" localSheetId="26">#REF!</definedName>
    <definedName name="FULVIMIXER" localSheetId="26">#REF!</definedName>
    <definedName name="G.14" localSheetId="26">#REF!</definedName>
    <definedName name="G.16" localSheetId="26">#REF!</definedName>
    <definedName name="G.2" localSheetId="26">#REF!</definedName>
    <definedName name="G.32H" localSheetId="26">#REF!</definedName>
    <definedName name="G.32K" localSheetId="26">#REF!</definedName>
    <definedName name="G.32L" localSheetId="26">#REF!</definedName>
    <definedName name="G.33F" localSheetId="26">#REF!</definedName>
    <definedName name="G.33H" localSheetId="26">#REF!</definedName>
    <definedName name="G.33I" localSheetId="26">#REF!</definedName>
    <definedName name="G.33L" localSheetId="26">#REF!</definedName>
    <definedName name="G.44" localSheetId="26">#REF!</definedName>
    <definedName name="G.50H" localSheetId="26">#REF!</definedName>
    <definedName name="G.50I" localSheetId="26">#REF!</definedName>
    <definedName name="G.50J" localSheetId="26">#REF!</definedName>
    <definedName name="G.50K" localSheetId="26">#REF!</definedName>
    <definedName name="G.50O" localSheetId="26">#REF!</definedName>
    <definedName name="G.50P" localSheetId="26">#REF!</definedName>
    <definedName name="G.51C" localSheetId="26">#REF!</definedName>
    <definedName name="G.51D" localSheetId="26">#REF!</definedName>
    <definedName name="G.53" localSheetId="26">#REF!</definedName>
    <definedName name="G.53A" localSheetId="26">#REF!</definedName>
    <definedName name="G.55B" localSheetId="26">#REF!</definedName>
    <definedName name="G.55C" localSheetId="26">#REF!</definedName>
    <definedName name="G.5A" localSheetId="26">#REF!</definedName>
    <definedName name="G.5B" localSheetId="26">#REF!</definedName>
    <definedName name="G.5C" localSheetId="26">#REF!</definedName>
    <definedName name="G.6" localSheetId="26">#REF!</definedName>
    <definedName name="G.67" localSheetId="26">#REF!</definedName>
    <definedName name="G.72_20X20" localSheetId="26">#REF!</definedName>
    <definedName name="G.72_30X30" localSheetId="26">#REF!</definedName>
    <definedName name="G.72_M_30X30" localSheetId="26">#REF!</definedName>
    <definedName name="G_1" localSheetId="26">#REF!</definedName>
    <definedName name="G_50m" localSheetId="26">#REF!</definedName>
    <definedName name="G_53A" localSheetId="26">#REF!</definedName>
    <definedName name="G_72b" localSheetId="26">#REF!</definedName>
    <definedName name="GENSET" localSheetId="26">#REF!</definedName>
    <definedName name="GRADER" localSheetId="26">#REF!</definedName>
    <definedName name="H.10_ASBES" localSheetId="26">#REF!</definedName>
    <definedName name="H.10_SENG" localSheetId="26">#REF!</definedName>
    <definedName name="H.14_KARET" localSheetId="26">#REF!</definedName>
    <definedName name="H.14_SENG_PLAT" localSheetId="26">#REF!</definedName>
    <definedName name="H.17_KARET" localSheetId="26">#REF!</definedName>
    <definedName name="H.17_SENG_PLAT" localSheetId="26">#REF!</definedName>
    <definedName name="H.2" localSheetId="26">#REF!</definedName>
    <definedName name="H.6" localSheetId="26">#REF!</definedName>
    <definedName name="H.8_AS_GEL" localSheetId="26">#REF!</definedName>
    <definedName name="H.8_AS_GEN" localSheetId="26">#REF!</definedName>
    <definedName name="H.8_SENG" localSheetId="26">#REF!</definedName>
    <definedName name="HARGA" localSheetId="26">#REF!</definedName>
    <definedName name="hargasatuan" localSheetId="26">#REF!</definedName>
    <definedName name="hlll" localSheetId="26" hidden="1">#REF!</definedName>
    <definedName name="hrg_dsr" localSheetId="26">#REF!</definedName>
    <definedName name="INSTALASI_LISTRIK" localSheetId="26">#REF!</definedName>
    <definedName name="JACKHAMMER" localSheetId="26">#REF!</definedName>
    <definedName name="JAM" localSheetId="26">#REF!</definedName>
    <definedName name="JAMER" localSheetId="26">#REF!</definedName>
    <definedName name="jml" localSheetId="26">#REF!</definedName>
    <definedName name="K" localSheetId="26">#REF!</definedName>
    <definedName name="K.30" localSheetId="26">#REF!</definedName>
    <definedName name="K.7_23_CAT" localSheetId="26">#REF!</definedName>
    <definedName name="K.7_23_KAPUR" localSheetId="26">#REF!</definedName>
    <definedName name="K.8_23_ASGEN" localSheetId="26">#REF!</definedName>
    <definedName name="K.8_23_SENG" localSheetId="26">#REF!</definedName>
    <definedName name="K.9_23" localSheetId="26">#REF!</definedName>
    <definedName name="K.9_23B" localSheetId="26">#REF!</definedName>
    <definedName name="K_010" localSheetId="26">#REF!</definedName>
    <definedName name="K_011" localSheetId="26">#REF!</definedName>
    <definedName name="K_011_peng.kr.gal.t.saring.b_hal.2" localSheetId="26">#REF!</definedName>
    <definedName name="K_012" localSheetId="26">#REF!</definedName>
    <definedName name="K_012_peng.kr.sung.t.saring.a_hal.3" localSheetId="26">#REF!</definedName>
    <definedName name="K_013_peng.kr.sung.t.saring.b_hal.4" localSheetId="26">#REF!</definedName>
    <definedName name="K_014" localSheetId="26">#REF!</definedName>
    <definedName name="K_016" localSheetId="26">#REF!</definedName>
    <definedName name="K_016_peng.kr.sung.saring.a_hal.6" localSheetId="26">#REF!</definedName>
    <definedName name="K_017" localSheetId="26">#REF!</definedName>
    <definedName name="K_017_produk.bt.sung.pch.saring.a_hal.7" localSheetId="26">#REF!</definedName>
    <definedName name="K_023_produk.suplai_lasbutag.b_hal.47" localSheetId="26">#REF!</definedName>
    <definedName name="K_026" localSheetId="26">#REF!</definedName>
    <definedName name="K_035" localSheetId="26">#REF!</definedName>
    <definedName name="K_040" localSheetId="26">#REF!</definedName>
    <definedName name="K_110" localSheetId="26">#REF!</definedName>
    <definedName name="K_115" localSheetId="26">#REF!</definedName>
    <definedName name="K_116" localSheetId="26">#REF!</definedName>
    <definedName name="K_210" localSheetId="26">#REF!</definedName>
    <definedName name="K_224" localSheetId="26">#REF!</definedName>
    <definedName name="K_225" localSheetId="26">#REF!</definedName>
    <definedName name="K_310" localSheetId="26">#REF!</definedName>
    <definedName name="K_311" localSheetId="26">#REF!</definedName>
    <definedName name="K_321" localSheetId="26">#REF!</definedName>
    <definedName name="K_410" localSheetId="26">#REF!</definedName>
    <definedName name="K_421" localSheetId="26">#REF!</definedName>
    <definedName name="K_422" localSheetId="26">#REF!</definedName>
    <definedName name="K_424" localSheetId="26">#REF!</definedName>
    <definedName name="K_514" localSheetId="26">#REF!</definedName>
    <definedName name="K_516" localSheetId="26">#REF!</definedName>
    <definedName name="K_523" localSheetId="26">#REF!</definedName>
    <definedName name="K_528" localSheetId="26">#REF!</definedName>
    <definedName name="K_612" localSheetId="26">#REF!</definedName>
    <definedName name="K_614" localSheetId="26">#REF!</definedName>
    <definedName name="K_617" localSheetId="26">#REF!</definedName>
    <definedName name="K_618" localSheetId="26">#REF!</definedName>
    <definedName name="K_631" localSheetId="26">#REF!</definedName>
    <definedName name="K_636" localSheetId="26">#REF!</definedName>
    <definedName name="K_705" localSheetId="26">#REF!</definedName>
    <definedName name="K_710" localSheetId="26">#REF!</definedName>
    <definedName name="K_715" localSheetId="26">#REF!</definedName>
    <definedName name="K_720" localSheetId="26">#REF!</definedName>
    <definedName name="K_721" localSheetId="26">#REF!</definedName>
    <definedName name="K_722" localSheetId="26">#REF!</definedName>
    <definedName name="K_722_beton.strukt.K225.alat.mix.125ltr_hal.11" localSheetId="26">#REF!</definedName>
    <definedName name="K_850" localSheetId="26">#REF!</definedName>
    <definedName name="K_855" localSheetId="26">#REF!</definedName>
    <definedName name="K_860" localSheetId="26">#REF!</definedName>
    <definedName name="K_865" localSheetId="26">#REF!</definedName>
    <definedName name="K_870" localSheetId="26">#REF!</definedName>
    <definedName name="K_875" localSheetId="26">#REF!</definedName>
    <definedName name="K_877" localSheetId="26">#REF!</definedName>
    <definedName name="K_880" localSheetId="26">#REF!</definedName>
    <definedName name="K_885" localSheetId="26">#REF!</definedName>
    <definedName name="KKKK" localSheetId="26" hidden="1">#REF!</definedName>
    <definedName name="kode.alat" localSheetId="26">#REF!</definedName>
    <definedName name="KUANTITAS" localSheetId="26">#REF!</definedName>
    <definedName name="KUDA" localSheetId="26">#REF!</definedName>
    <definedName name="KUDA_ATAP" localSheetId="26">#REF!</definedName>
    <definedName name="KUSEN" localSheetId="26">#REF!</definedName>
    <definedName name="KUSEN_JENDELA" localSheetId="26">#REF!</definedName>
    <definedName name="L_061" localSheetId="26">#REF!</definedName>
    <definedName name="L_073" localSheetId="26">#REF!</definedName>
    <definedName name="L_079" localSheetId="26">#REF!</definedName>
    <definedName name="L_081" localSheetId="26">#REF!</definedName>
    <definedName name="L_082" localSheetId="26">#REF!</definedName>
    <definedName name="L_083" localSheetId="26">#REF!</definedName>
    <definedName name="L_091" localSheetId="26">#REF!</definedName>
    <definedName name="L_099" localSheetId="26">#REF!</definedName>
    <definedName name="L_101" localSheetId="26">#REF!</definedName>
    <definedName name="L_106" localSheetId="26">#REF!</definedName>
    <definedName name="LANTAI_PLAFOND" localSheetId="26">#REF!</definedName>
    <definedName name="link" localSheetId="26">#REF!</definedName>
    <definedName name="M_010" localSheetId="26">#REF!</definedName>
    <definedName name="M_020" localSheetId="26">#REF!</definedName>
    <definedName name="M_021" localSheetId="26">#REF!</definedName>
    <definedName name="M_023" localSheetId="26">#REF!</definedName>
    <definedName name="M_024" localSheetId="26">#REF!</definedName>
    <definedName name="M_025" localSheetId="26">#REF!</definedName>
    <definedName name="M_040" localSheetId="26">#REF!</definedName>
    <definedName name="M_041" localSheetId="26">#REF!</definedName>
    <definedName name="M_050" localSheetId="26">#REF!</definedName>
    <definedName name="M_061" localSheetId="26">#REF!</definedName>
    <definedName name="M_062" localSheetId="26">#REF!</definedName>
    <definedName name="M_063" localSheetId="26">#REF!</definedName>
    <definedName name="M_065" localSheetId="26">#REF!</definedName>
    <definedName name="M_080" localSheetId="26">#REF!</definedName>
    <definedName name="M_081" localSheetId="26">#REF!</definedName>
    <definedName name="M_165" localSheetId="26">#REF!</definedName>
    <definedName name="M_166" localSheetId="26">#REF!</definedName>
    <definedName name="M_167" localSheetId="26">#REF!</definedName>
    <definedName name="M_170" localSheetId="26">#REF!</definedName>
    <definedName name="M_180" localSheetId="26">#REF!</definedName>
    <definedName name="MATERIALKU" localSheetId="26">#REF!</definedName>
    <definedName name="MK_012" localSheetId="26">#REF!</definedName>
    <definedName name="MK_014" localSheetId="26">#REF!</definedName>
    <definedName name="MK_017" localSheetId="26">#REF!</definedName>
    <definedName name="MK_023" localSheetId="26">#REF!</definedName>
    <definedName name="MK_522" localSheetId="26">#REF!</definedName>
    <definedName name="MMM" localSheetId="26" hidden="1">#REF!</definedName>
    <definedName name="MOBILISASI" localSheetId="26">#REF!</definedName>
    <definedName name="MR_11" localSheetId="26">#REF!</definedName>
    <definedName name="MR_12" localSheetId="26">#REF!</definedName>
    <definedName name="MR_42" localSheetId="26">#REF!</definedName>
    <definedName name="nanna79" localSheetId="26">#REF!</definedName>
    <definedName name="oda" localSheetId="26" hidden="1">#REF!</definedName>
    <definedName name="p" localSheetId="26">#REF!</definedName>
    <definedName name="P_GIP_1" localSheetId="26">#REF!</definedName>
    <definedName name="P_GIP_1_5" localSheetId="26">#REF!</definedName>
    <definedName name="P_GIP_2" localSheetId="26">#REF!</definedName>
    <definedName name="P_GIP_3" localSheetId="26">#REF!</definedName>
    <definedName name="P_GIP_4" localSheetId="26">#REF!</definedName>
    <definedName name="P_PVC_1" localSheetId="26">#REF!</definedName>
    <definedName name="P_PVC_1_5" localSheetId="26">#REF!</definedName>
    <definedName name="P_PVC_2" localSheetId="26">#REF!</definedName>
    <definedName name="P_PVC_3" localSheetId="26">#REF!</definedName>
    <definedName name="P_PVC_4" localSheetId="26">#REF!</definedName>
    <definedName name="PAPAN" localSheetId="26">#REF!</definedName>
    <definedName name="PEDESTRIANROLLER" localSheetId="26">#REF!</definedName>
    <definedName name="pek" localSheetId="26">#REF!</definedName>
    <definedName name="PENGECATAN" localSheetId="26">#REF!</definedName>
    <definedName name="PERSIAPAN" localSheetId="26">#REF!</definedName>
    <definedName name="PINTU" localSheetId="26">#REF!</definedName>
    <definedName name="PLAFOND" localSheetId="26">#REF!</definedName>
    <definedName name="PLAT_LANTAI" localSheetId="26">#REF!</definedName>
    <definedName name="PLESTERAN" localSheetId="26">#REF!</definedName>
    <definedName name="PONDASI" localSheetId="26">#REF!</definedName>
    <definedName name="_xlnm.Print_Area" localSheetId="26" hidden="1">#REF!</definedName>
    <definedName name="PTJW" localSheetId="26">#REF!</definedName>
    <definedName name="qq" localSheetId="26">#REF!</definedName>
    <definedName name="RANGKA_PLAFOND" localSheetId="26">#REF!</definedName>
    <definedName name="RINCIANSEWA" localSheetId="26">#REF!</definedName>
    <definedName name="RINCIANSEWA2" localSheetId="26">#REF!</definedName>
    <definedName name="SALURAN_RABAT" localSheetId="26">#REF!</definedName>
    <definedName name="SANITASI" localSheetId="26">#REF!</definedName>
    <definedName name="SISA" localSheetId="26">#REF!</definedName>
    <definedName name="SPL.III_BDK_20" localSheetId="26">#REF!</definedName>
    <definedName name="SPL.III_BDK_30" localSheetId="26">#REF!</definedName>
    <definedName name="SPL.III_PC" localSheetId="26">#REF!</definedName>
    <definedName name="SPL.IV_10X20" localSheetId="26">#REF!</definedName>
    <definedName name="SPL.IV_PORSEL" localSheetId="26">#REF!</definedName>
    <definedName name="SPL.V" localSheetId="26">#REF!</definedName>
    <definedName name="SPL.VIA" localSheetId="26">#REF!</definedName>
    <definedName name="SPL.VII_I" localSheetId="26">#REF!</definedName>
    <definedName name="SPL.VII_II" localSheetId="26">#REF!</definedName>
    <definedName name="SPL.VIII_ETER" localSheetId="26">#REF!</definedName>
    <definedName name="SPL.VIII_GAM" localSheetId="26">#REF!</definedName>
    <definedName name="SPL.VIII_TEAK" localSheetId="26">#REF!</definedName>
    <definedName name="SPL.VIII_TRIP" localSheetId="26">#REF!</definedName>
    <definedName name="SPL.X" localSheetId="26">#REF!</definedName>
    <definedName name="SPRAYER" localSheetId="26">#REF!</definedName>
    <definedName name="ss" localSheetId="26" hidden="1">#REF!</definedName>
    <definedName name="ssss" localSheetId="26">#REF!</definedName>
    <definedName name="STONECRUSHER" localSheetId="26">#REF!</definedName>
    <definedName name="T_1" localSheetId="26">#REF!</definedName>
    <definedName name="T_2" localSheetId="26">#REF!</definedName>
    <definedName name="Tabel" localSheetId="26">#REF!</definedName>
    <definedName name="Tabel_1" localSheetId="26">#REF!</definedName>
    <definedName name="tabel1" localSheetId="26">#REF!</definedName>
    <definedName name="TAMPER" localSheetId="26">#REF!</definedName>
    <definedName name="TANAH" localSheetId="26">#REF!</definedName>
    <definedName name="TANDEMROLLER" localSheetId="26">#REF!</definedName>
    <definedName name="TAS" localSheetId="26">#REF!</definedName>
    <definedName name="TEGEL" localSheetId="26">#REF!</definedName>
    <definedName name="THREEWHEELROLLER" localSheetId="26">#REF!</definedName>
    <definedName name="TIREROLLER" localSheetId="26">#REF!</definedName>
    <definedName name="tot" localSheetId="26">#REF!</definedName>
    <definedName name="TOTAL" localSheetId="26">#REF!</definedName>
    <definedName name="TRACKLOADER" localSheetId="26">#REF!</definedName>
    <definedName name="URAIAN323L" localSheetId="26">#REF!</definedName>
    <definedName name="URAIAN611" localSheetId="26">#REF!</definedName>
    <definedName name="URAIAN612" localSheetId="26">#REF!</definedName>
    <definedName name="URAIAN621" localSheetId="26">#REF!</definedName>
    <definedName name="URAIAN622" localSheetId="26">#REF!</definedName>
    <definedName name="URAIAN623" localSheetId="26">#REF!</definedName>
    <definedName name="URAIAN631" localSheetId="26">#REF!</definedName>
    <definedName name="URAIAN632" localSheetId="26">#REF!</definedName>
    <definedName name="URAIAN633" localSheetId="26">#REF!</definedName>
    <definedName name="URAIAN634" localSheetId="26">#REF!</definedName>
    <definedName name="URAIAN635" localSheetId="26">#REF!</definedName>
    <definedName name="URAIAN635A" localSheetId="26">#REF!</definedName>
    <definedName name="URAIAN636" localSheetId="26">#REF!</definedName>
    <definedName name="URAIAN641L" localSheetId="26">#REF!</definedName>
    <definedName name="URAIAN642" localSheetId="26">#REF!</definedName>
    <definedName name="URAIAN65" localSheetId="26">#REF!</definedName>
    <definedName name="URAIAN66PERATA" localSheetId="26">#REF!</definedName>
    <definedName name="URAIAN66PERMUKAAN" localSheetId="26">#REF!</definedName>
    <definedName name="URAIAN7101" localSheetId="26">#REF!</definedName>
    <definedName name="URAIAN7102" localSheetId="26">#REF!</definedName>
    <definedName name="URAIAN7103" localSheetId="26">#REF!</definedName>
    <definedName name="URAIAN711" localSheetId="26">#REF!</definedName>
    <definedName name="URAIAN712" localSheetId="26">#REF!</definedName>
    <definedName name="URAIAN713" localSheetId="26">#REF!</definedName>
    <definedName name="URAIAN714" localSheetId="26">#REF!</definedName>
    <definedName name="URAIAN715" localSheetId="26">#REF!</definedName>
    <definedName name="URAIAN716" localSheetId="26">#REF!</definedName>
    <definedName name="URAIAN717" localSheetId="26">#REF!</definedName>
    <definedName name="URAIAN718" localSheetId="26">#REF!</definedName>
    <definedName name="URAIAN721" localSheetId="26">#REF!</definedName>
    <definedName name="URAIAN731" localSheetId="26">#REF!</definedName>
    <definedName name="URAIAN732" localSheetId="26">#REF!</definedName>
    <definedName name="URAIAN733" localSheetId="26">#REF!</definedName>
    <definedName name="URAIAN734" localSheetId="26">#REF!</definedName>
    <definedName name="URAIAN735" localSheetId="26">#REF!</definedName>
    <definedName name="URAIAN744" localSheetId="26">#REF!</definedName>
    <definedName name="URAIAN745" localSheetId="26">#REF!</definedName>
    <definedName name="URAIAN7610" localSheetId="26">#REF!</definedName>
    <definedName name="URAIAN7612a" localSheetId="26">#REF!</definedName>
    <definedName name="URAIAN7612b" localSheetId="26">#REF!</definedName>
    <definedName name="URAIAN7612c" localSheetId="26">#REF!</definedName>
    <definedName name="URAIAN7613a" localSheetId="26">#REF!</definedName>
    <definedName name="URAIAN7613b" localSheetId="26">#REF!</definedName>
    <definedName name="URAIAN7613c" localSheetId="26">#REF!</definedName>
    <definedName name="URAIAN7614a" localSheetId="26">#REF!</definedName>
    <definedName name="URAIAN7614b" localSheetId="26">#REF!</definedName>
    <definedName name="URAIAN7614d" localSheetId="26">#REF!</definedName>
    <definedName name="URAIAN7614e" localSheetId="26">#REF!</definedName>
    <definedName name="URAIAN7618" localSheetId="26">#REF!</definedName>
    <definedName name="URAIAN7619" localSheetId="26">#REF!</definedName>
    <definedName name="URAIAN768" localSheetId="26">#REF!</definedName>
    <definedName name="URAIAN769" localSheetId="26">#REF!</definedName>
    <definedName name="URAIAN76x" localSheetId="26">#REF!</definedName>
    <definedName name="URAIAN771a" localSheetId="26">#REF!</definedName>
    <definedName name="URAIAN771b" localSheetId="26">#REF!</definedName>
    <definedName name="URAIAN771c" localSheetId="26">#REF!</definedName>
    <definedName name="URAIAN771d" localSheetId="26">#REF!</definedName>
    <definedName name="URAIAN772a" localSheetId="26">#REF!</definedName>
    <definedName name="URAIAN772b" localSheetId="26">#REF!</definedName>
    <definedName name="URAIAN772c" localSheetId="26">#REF!</definedName>
    <definedName name="URAIAN772d" localSheetId="26">#REF!</definedName>
    <definedName name="URAIAN79manual" localSheetId="26">#REF!</definedName>
    <definedName name="URAIAN79mekanis" localSheetId="26">#REF!</definedName>
    <definedName name="URAIAN811" localSheetId="26">#REF!</definedName>
    <definedName name="URAIAN812" localSheetId="26">#REF!</definedName>
    <definedName name="URAIAN813" localSheetId="26">#REF!</definedName>
    <definedName name="URAIAN814" localSheetId="26">#REF!</definedName>
    <definedName name="URAIAN815" localSheetId="26">#REF!</definedName>
    <definedName name="URAIAN817" localSheetId="26">#REF!</definedName>
    <definedName name="URAIAN818" localSheetId="26">#REF!</definedName>
    <definedName name="URAIAN819" localSheetId="26">#REF!</definedName>
    <definedName name="URAIAN82" localSheetId="26">#REF!</definedName>
    <definedName name="Uraian841" localSheetId="26">#REF!</definedName>
    <definedName name="Uraian8410" localSheetId="26">#REF!</definedName>
    <definedName name="Uraian842" localSheetId="26">#REF!</definedName>
    <definedName name="Uraian844" localSheetId="26">#REF!</definedName>
    <definedName name="Uraian845" localSheetId="26">#REF!</definedName>
    <definedName name="Uraian846" localSheetId="26">#REF!</definedName>
    <definedName name="Uraian847" localSheetId="26">#REF!</definedName>
    <definedName name="URAIANGEOTEKSTIL" localSheetId="26">#REF!</definedName>
    <definedName name="UTAIAN7614c" localSheetId="26">#REF!</definedName>
    <definedName name="VIBROROLLER" localSheetId="26">#REF!</definedName>
    <definedName name="voeg" localSheetId="26">#REF!</definedName>
    <definedName name="WATERPUMP" localSheetId="26">#REF!</definedName>
    <definedName name="WATERTANKER" localSheetId="26">#REF!</definedName>
    <definedName name="WHEELLOADER" localSheetId="26">#REF!</definedName>
    <definedName name="Z" localSheetId="26">#REF!</definedName>
    <definedName name="_xlnm.Print_Area" localSheetId="12">INVENTARIS!$A$100:$V$196</definedName>
    <definedName name="_xlnm.Print_Area" localSheetId="2">'RL JAN-DES'!$A$2:$C$44</definedName>
    <definedName name="_xlnm.Print_Area" localSheetId="8">'BIAYA OPERASIONAL'!$A$2:$F$29</definedName>
    <definedName name="_xlnm.Print_Area" localSheetId="9">'Gaji Pengawas'!$B$2:$F$21</definedName>
    <definedName name="_xlnm.Print_Area" localSheetId="10">'Gaji Pegawai'!$B$2:$F$23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<sst xmlns="http://schemas.openxmlformats.org/spreadsheetml/2006/main" count="2761" uniqueCount="1271">
  <si>
    <t>BADAN USAHA MILIK DESA BUMDesa SEJAHTERA</t>
  </si>
  <si>
    <t>NERACA BUMDESA</t>
  </si>
  <si>
    <t>TANGGAL, 31 AGUSTUS 2026</t>
  </si>
  <si>
    <t>AKTIVA</t>
  </si>
  <si>
    <t>PASSIVA</t>
  </si>
  <si>
    <t>1.</t>
  </si>
  <si>
    <t>HARTA</t>
  </si>
  <si>
    <t>2.</t>
  </si>
  <si>
    <t>HUTANG</t>
  </si>
  <si>
    <t>1.1</t>
  </si>
  <si>
    <t>Kas</t>
  </si>
  <si>
    <t>2.1</t>
  </si>
  <si>
    <t>PADes</t>
  </si>
  <si>
    <t>1.1.1</t>
  </si>
  <si>
    <t>Kas Umum</t>
  </si>
  <si>
    <t>2.2</t>
  </si>
  <si>
    <t>Penguatan modal</t>
  </si>
  <si>
    <t>1.1.2</t>
  </si>
  <si>
    <t>Kas Harian</t>
  </si>
  <si>
    <t>2.3</t>
  </si>
  <si>
    <t>Cadangan</t>
  </si>
  <si>
    <t>Total Kas</t>
  </si>
  <si>
    <t>Jumlah</t>
  </si>
  <si>
    <t>3.</t>
  </si>
  <si>
    <t>MODAL</t>
  </si>
  <si>
    <t>1.2</t>
  </si>
  <si>
    <t>Bank</t>
  </si>
  <si>
    <t>3.1</t>
  </si>
  <si>
    <t>Penguatan modal dari SHU</t>
  </si>
  <si>
    <t>1.2.1</t>
  </si>
  <si>
    <t>Bank BRI</t>
  </si>
  <si>
    <t>3.1.1</t>
  </si>
  <si>
    <t>SHU 2017</t>
  </si>
  <si>
    <t>1.2.2</t>
  </si>
  <si>
    <t>Bank BPD</t>
  </si>
  <si>
    <t>3.1.2</t>
  </si>
  <si>
    <t>SHU 2018</t>
  </si>
  <si>
    <t>Total Bank</t>
  </si>
  <si>
    <t>3.1.3</t>
  </si>
  <si>
    <t>SHU 2019</t>
  </si>
  <si>
    <t>3.1.4</t>
  </si>
  <si>
    <t>SHU 2020</t>
  </si>
  <si>
    <t>1.3</t>
  </si>
  <si>
    <t>Inventaris</t>
  </si>
  <si>
    <t>3.1.5</t>
  </si>
  <si>
    <t>SHU 2021</t>
  </si>
  <si>
    <t>1.3.1</t>
  </si>
  <si>
    <t>Akumulasi Penyusutan</t>
  </si>
  <si>
    <t>3.1.6</t>
  </si>
  <si>
    <t>SHU 2022</t>
  </si>
  <si>
    <t>1.3.2</t>
  </si>
  <si>
    <t>Nilai Buku</t>
  </si>
  <si>
    <t>3.1.7</t>
  </si>
  <si>
    <t>SHU 2023</t>
  </si>
  <si>
    <t>3.1.8</t>
  </si>
  <si>
    <t>SHU 2024</t>
  </si>
  <si>
    <t>3.1.0</t>
  </si>
  <si>
    <t>SHU 2025</t>
  </si>
  <si>
    <t>1.4</t>
  </si>
  <si>
    <t>Alokasi ke Unit Usaha</t>
  </si>
  <si>
    <t>3.2</t>
  </si>
  <si>
    <t>Penyertaan Modal</t>
  </si>
  <si>
    <t>1.4.1</t>
  </si>
  <si>
    <t>Modal Usaha (Piutang) Syariah</t>
  </si>
  <si>
    <t>3.2.1</t>
  </si>
  <si>
    <t xml:space="preserve">Dari APBD Barru 2013-2014 </t>
  </si>
  <si>
    <t>1.4.2</t>
  </si>
  <si>
    <t>Investasi  Gas</t>
  </si>
  <si>
    <t>3.2.2</t>
  </si>
  <si>
    <t xml:space="preserve">Dari Dana Desa 2017 </t>
  </si>
  <si>
    <t>1.4.3</t>
  </si>
  <si>
    <t>Investasi Perikanan</t>
  </si>
  <si>
    <t>3.2.3</t>
  </si>
  <si>
    <t>Dari Dana Desa 2018</t>
  </si>
  <si>
    <t>1.4.4</t>
  </si>
  <si>
    <t>Piutang Multi Finance</t>
  </si>
  <si>
    <t>3.2.4</t>
  </si>
  <si>
    <t xml:space="preserve">Dari Dana Desa 2019 </t>
  </si>
  <si>
    <t>1.4.5</t>
  </si>
  <si>
    <t>Unit Usaha BRI Link</t>
  </si>
  <si>
    <t>3.2.5</t>
  </si>
  <si>
    <t xml:space="preserve">Dari Dana Desa 2020 </t>
  </si>
  <si>
    <t>1.4.6</t>
  </si>
  <si>
    <t>Usaha Jasa dan Distribusi Barang</t>
  </si>
  <si>
    <t>3.2.6</t>
  </si>
  <si>
    <t xml:space="preserve">Dari Dana Desa 2022 </t>
  </si>
  <si>
    <t>1.4.7</t>
  </si>
  <si>
    <t>Investasi Ketahanan Pangan</t>
  </si>
  <si>
    <t>3.2.7</t>
  </si>
  <si>
    <t xml:space="preserve">Dari Dana Desa 2023 </t>
  </si>
  <si>
    <t>1.4.8</t>
  </si>
  <si>
    <t>Toko Alat Bengkel</t>
  </si>
  <si>
    <t>3.2.8</t>
  </si>
  <si>
    <t>Dari Dana Desa 2024</t>
  </si>
  <si>
    <t>1.4.9</t>
  </si>
  <si>
    <t>Dana Pelatihan Pengurus BUMDes</t>
  </si>
  <si>
    <t>3.2.9</t>
  </si>
  <si>
    <t>Ketahanan Pangan 2025</t>
  </si>
  <si>
    <t>3.2.10</t>
  </si>
  <si>
    <t>Ketahanan Pangan 2026</t>
  </si>
  <si>
    <t>1.4.10</t>
  </si>
  <si>
    <t>Piutang Sementara</t>
  </si>
  <si>
    <t>3.2.11</t>
  </si>
  <si>
    <t>Dari Kemendes 2023</t>
  </si>
  <si>
    <t>3.2.12</t>
  </si>
  <si>
    <t>Tabungan Masyarakat</t>
  </si>
  <si>
    <t>3.2.13</t>
  </si>
  <si>
    <t>Surplus ditahan</t>
  </si>
  <si>
    <t>3.2.14</t>
  </si>
  <si>
    <t>Surplus berjalan</t>
  </si>
  <si>
    <t>TOTAL AKTIVA</t>
  </si>
  <si>
    <t>JUMLAH</t>
  </si>
  <si>
    <t>Batupute, 31 Agustus 2026</t>
  </si>
  <si>
    <t>PENGURUS BUMDes SEJAHTERA</t>
  </si>
  <si>
    <t>DESA BATUPUTE KEC.SOPPENG RIAJA KAB.BARRU</t>
  </si>
  <si>
    <t>DIREKTUR</t>
  </si>
  <si>
    <t>BENDAHARA</t>
  </si>
  <si>
    <t>WAWAN DARMAWAN</t>
  </si>
  <si>
    <t>IRMA ALISA, S.T</t>
  </si>
  <si>
    <t>RUGI LABA BUMDESA SEJAHTERA</t>
  </si>
  <si>
    <t>BULAN AGUSTUS 2026</t>
  </si>
  <si>
    <t>Desa/Kecamatan</t>
  </si>
  <si>
    <t>: Batupute Kec.Soppeng Riaja</t>
  </si>
  <si>
    <t>Kabupaten</t>
  </si>
  <si>
    <t>: Barru</t>
  </si>
  <si>
    <t>Provinsi</t>
  </si>
  <si>
    <t>: Sulsel</t>
  </si>
  <si>
    <t>PENDAPATAN</t>
  </si>
  <si>
    <t>LABA/RUGI</t>
  </si>
  <si>
    <t>4.1</t>
  </si>
  <si>
    <t>Pendapatan Operasional</t>
  </si>
  <si>
    <t>4.1.1</t>
  </si>
  <si>
    <t>Unit Usaha Piutang Syariah</t>
  </si>
  <si>
    <t>4.1.2</t>
  </si>
  <si>
    <t>Unit Usaha Penjualan Gas</t>
  </si>
  <si>
    <t>4.1.3</t>
  </si>
  <si>
    <t>Unit Usaha Penjualan Alat-alat Prikanan</t>
  </si>
  <si>
    <t>4.1.4</t>
  </si>
  <si>
    <t>BRILINK</t>
  </si>
  <si>
    <t>4.1.5</t>
  </si>
  <si>
    <t>Multiguna Finance</t>
  </si>
  <si>
    <t>4.1.6</t>
  </si>
  <si>
    <t>Pengadaan Barang &amp; Jasa</t>
  </si>
  <si>
    <t>4.1.7</t>
  </si>
  <si>
    <t>Ketahanan Pangan</t>
  </si>
  <si>
    <t>4.1.8</t>
  </si>
  <si>
    <t>Toko Bengkel</t>
  </si>
  <si>
    <t>4.2</t>
  </si>
  <si>
    <t>Pendapatan Non Ops</t>
  </si>
  <si>
    <t>4.2.1</t>
  </si>
  <si>
    <t>Bunga Bank</t>
  </si>
  <si>
    <t>4.2.2</t>
  </si>
  <si>
    <t>Pendapatan Lain-lain</t>
  </si>
  <si>
    <t>TOTAL PENDAPATAN ( KOTOR)</t>
  </si>
  <si>
    <t>BIAYA-BIAYA</t>
  </si>
  <si>
    <t>5.1.1</t>
  </si>
  <si>
    <t>Gaji  Pengurus</t>
  </si>
  <si>
    <t>5.1.2</t>
  </si>
  <si>
    <t>Gaji  Penasehat</t>
  </si>
  <si>
    <t>5.1.3</t>
  </si>
  <si>
    <t>Gaji  Pengawas</t>
  </si>
  <si>
    <t>5.1.4</t>
  </si>
  <si>
    <t>Biaya Operasional</t>
  </si>
  <si>
    <t>5.1.5</t>
  </si>
  <si>
    <t>Kegiatan Sosial</t>
  </si>
  <si>
    <t>5.1.6</t>
  </si>
  <si>
    <t>Beban Penyusutan</t>
  </si>
  <si>
    <t>6.</t>
  </si>
  <si>
    <t>Biaya  OPS</t>
  </si>
  <si>
    <t>6.1.1</t>
  </si>
  <si>
    <t>Pajak</t>
  </si>
  <si>
    <t>6.1.2</t>
  </si>
  <si>
    <t>Tunjangan Kerja</t>
  </si>
  <si>
    <t>Biaya Lain-Lain</t>
  </si>
  <si>
    <t>7.1</t>
  </si>
  <si>
    <t>Studi Banding</t>
  </si>
  <si>
    <t>LABA BERSIH BUMDes</t>
  </si>
  <si>
    <t>Batupute, 31 AGUSTUS 2026</t>
  </si>
  <si>
    <t>IRMA ALISA, ST</t>
  </si>
  <si>
    <t>RUGI LABA BUMDESA</t>
  </si>
  <si>
    <t>BULAN JANUARI  S / D DESEMBER 2026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</si>
  <si>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</si>
  <si>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</si>
  <si>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</si>
  <si>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</si>
  <si>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</si>
  <si>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</si>
  <si>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</si>
  <si>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</si>
  <si>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</si>
  <si>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</si>
  <si>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</si>
  <si>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</si>
  <si>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Unit Piutang Syariah</t>
  </si>
  <si>
    <t>Investasi Gas Penjualan Gas</t>
  </si>
  <si>
    <t>Investasi BRILINK</t>
  </si>
  <si>
    <t>Piutang Multiguna Finance</t>
  </si>
  <si>
    <t>Gaji Penasehat</t>
  </si>
  <si>
    <t>Gaji Pengawas</t>
  </si>
  <si>
    <t>Kegiatan Sosial ( Safari Ramadhan )</t>
  </si>
  <si>
    <t>5.1.7</t>
  </si>
  <si>
    <t>Pajak Penghasilan</t>
  </si>
  <si>
    <t>Bayar Gas Hilang</t>
  </si>
  <si>
    <t>KAS HARIAN BULAN AGUSTUS 2026</t>
  </si>
  <si>
    <t>Desa</t>
  </si>
  <si>
    <t>Kab</t>
  </si>
  <si>
    <t>Prov</t>
  </si>
  <si>
    <t>TANGGAL</t>
  </si>
  <si>
    <t>URAIAN</t>
  </si>
  <si>
    <t>PEMASUKAN</t>
  </si>
  <si>
    <t>PENGELUARAN</t>
  </si>
  <si>
    <t>KAS HARIAN</t>
  </si>
  <si>
    <t>PIUTANG SYARI'AH</t>
  </si>
  <si>
    <t>MULTI FINANCE</t>
  </si>
  <si>
    <t>BRILink</t>
  </si>
  <si>
    <t>GAS ELPIJI</t>
  </si>
  <si>
    <t>BARANG DAN JASA</t>
  </si>
  <si>
    <t>TOKO NELAYAN</t>
  </si>
  <si>
    <t>KETAHANAN PANGAN</t>
  </si>
  <si>
    <t>TOKO BENGKEL</t>
  </si>
  <si>
    <t>BIAYA LAIN-LAIN</t>
  </si>
  <si>
    <t>TABUNGAN MASYARAKAT</t>
  </si>
  <si>
    <t>PIUTANG SEMENTARA</t>
  </si>
  <si>
    <t>BIAYA OPERASIONAL</t>
  </si>
  <si>
    <t>1-07-2026</t>
  </si>
  <si>
    <t>SALDO AKHIR BULAN JULI</t>
  </si>
  <si>
    <t xml:space="preserve"> </t>
  </si>
  <si>
    <t>Pipa Saluran air ujunge</t>
  </si>
  <si>
    <t>Materai belum laku</t>
  </si>
  <si>
    <t>Materai</t>
  </si>
  <si>
    <t>Mantanaince bor air</t>
  </si>
  <si>
    <t>Pestisida</t>
  </si>
  <si>
    <t>Sisa dana bor air</t>
  </si>
  <si>
    <t>Sisa bor air</t>
  </si>
  <si>
    <t>TAHAP KEDUA GALUNG JAMPU</t>
  </si>
  <si>
    <t>TAHAP KEDUA LOMPO E TAHAP KEDUA</t>
  </si>
  <si>
    <t>Tambahan Pestisida</t>
  </si>
  <si>
    <t>Piutang Sementara baju</t>
  </si>
  <si>
    <t>Hilang materai</t>
  </si>
  <si>
    <t>BelI mesin potong rumput + GAS BAPAK PUTRI</t>
  </si>
  <si>
    <t>Talangan tukang</t>
  </si>
  <si>
    <t>Panjar pak malik</t>
  </si>
  <si>
    <t>Piutang sementara wawan gaji tukang</t>
  </si>
  <si>
    <t>Pengeluaran LPJ 2025</t>
  </si>
  <si>
    <t>Mantanaince Molen</t>
  </si>
  <si>
    <t>Talangan Bahan bangunan</t>
  </si>
  <si>
    <t>Pengeluaran Bank sampah</t>
  </si>
  <si>
    <t>Ebit Kurniawan</t>
  </si>
  <si>
    <t>Motor muh. saing</t>
  </si>
  <si>
    <t>panjar pak malik tgl 2/5/2026</t>
  </si>
  <si>
    <t>Panjar pak malik bayar bpjs</t>
  </si>
  <si>
    <t>Talangan stnk kak lina</t>
  </si>
  <si>
    <t>Panjar pak malik tgl 30/6/2026</t>
  </si>
  <si>
    <t>Talangan cat wawan</t>
  </si>
  <si>
    <t>Mata gurinda tukang</t>
  </si>
  <si>
    <t>4-8-2026</t>
  </si>
  <si>
    <t>evi</t>
  </si>
  <si>
    <t>Suci Febrianti</t>
  </si>
  <si>
    <t>Hasaruddin</t>
  </si>
  <si>
    <t>Hera</t>
  </si>
  <si>
    <t>Haslinda</t>
  </si>
  <si>
    <t>Arisman</t>
  </si>
  <si>
    <t>5-8-2026</t>
  </si>
  <si>
    <t>Talangan pengajian</t>
  </si>
  <si>
    <t>Muh. nawir</t>
  </si>
  <si>
    <t>6-8-2026</t>
  </si>
  <si>
    <t>7-8-2026</t>
  </si>
  <si>
    <t>8-8-2026</t>
  </si>
  <si>
    <t>9-8-2026</t>
  </si>
  <si>
    <t>10-8-2026</t>
  </si>
  <si>
    <t>11-8-2026</t>
  </si>
  <si>
    <t>Nuryadin jafar</t>
  </si>
  <si>
    <t>Sa'nang</t>
  </si>
  <si>
    <t>12-8-2026</t>
  </si>
  <si>
    <t>Wawan darmawan</t>
  </si>
  <si>
    <t>13-8-2026</t>
  </si>
  <si>
    <t>Muh. Kurniawan</t>
  </si>
  <si>
    <t>14-8-2026</t>
  </si>
  <si>
    <t>Yuli</t>
  </si>
  <si>
    <t>Amriana</t>
  </si>
  <si>
    <t>15-8-2026</t>
  </si>
  <si>
    <t>libur</t>
  </si>
  <si>
    <t>16-8-2026</t>
  </si>
  <si>
    <t>17-8-2026</t>
  </si>
  <si>
    <t>18-8-2026</t>
  </si>
  <si>
    <t>Irtika adillah</t>
  </si>
  <si>
    <t>Apandi</t>
  </si>
  <si>
    <t>Farida</t>
  </si>
  <si>
    <t>Ember ebit</t>
  </si>
  <si>
    <t>Gerobak</t>
  </si>
  <si>
    <t>Paku</t>
  </si>
  <si>
    <t>Tali</t>
  </si>
  <si>
    <t>Cipping</t>
  </si>
  <si>
    <t>Ippang</t>
  </si>
  <si>
    <t>Muh. tang</t>
  </si>
  <si>
    <t>Pengeluaran oli untuk mesin air</t>
  </si>
  <si>
    <t>Mantanaince Molen gommo</t>
  </si>
  <si>
    <t>transport pak desa menghadiri acara desa briliank dimks</t>
  </si>
  <si>
    <t>Transport kemakassar untuk toko bengkel</t>
  </si>
  <si>
    <t>Pembayaran wifi</t>
  </si>
  <si>
    <t>19-8-2026</t>
  </si>
  <si>
    <t>Keuntungan pengadaan barang dan jasa</t>
  </si>
  <si>
    <t>Pembayaran pembangunan</t>
  </si>
  <si>
    <t>Revarasi mesin pompa</t>
  </si>
  <si>
    <t>Biaya angkut mesin</t>
  </si>
  <si>
    <t>Tripleks</t>
  </si>
  <si>
    <t>20-8-2026</t>
  </si>
  <si>
    <t>Panjar kayu</t>
  </si>
  <si>
    <t>Pengembalian pengeluaran lompo e</t>
  </si>
  <si>
    <t>Panjar etta ruke TPK</t>
  </si>
  <si>
    <t>21-8-2026</t>
  </si>
  <si>
    <t>Mila</t>
  </si>
  <si>
    <t>22-8-2026</t>
  </si>
  <si>
    <t>23-8-2026</t>
  </si>
  <si>
    <t>24-8-2026</t>
  </si>
  <si>
    <t>Pencairan Tasya</t>
  </si>
  <si>
    <t>25-8-2026</t>
  </si>
  <si>
    <t>26-8-2026</t>
  </si>
  <si>
    <t>Pengembalian pengeluaran galung jampu</t>
  </si>
  <si>
    <t>Talangan kayu pembangunan kantor aula</t>
  </si>
  <si>
    <t>Talangan kak inang</t>
  </si>
  <si>
    <t>Sponsor 17 agustusan dusun awerange</t>
  </si>
  <si>
    <t>Nurlina</t>
  </si>
  <si>
    <t>Hj. Rusnaeni</t>
  </si>
  <si>
    <t>28-8-2026</t>
  </si>
  <si>
    <t>Biaya cetak rekening koran</t>
  </si>
  <si>
    <t>ATK</t>
  </si>
  <si>
    <t>Paku 2kg</t>
  </si>
  <si>
    <t>Pengembalian modal ketahanan pangan</t>
  </si>
  <si>
    <t>admin bank</t>
  </si>
  <si>
    <t>atk</t>
  </si>
  <si>
    <t>rapat internal</t>
  </si>
  <si>
    <t>29-8-2026</t>
  </si>
  <si>
    <t>LIBUR</t>
  </si>
  <si>
    <t>30-8-2026</t>
  </si>
  <si>
    <t>31-8-2026</t>
  </si>
  <si>
    <t>Daswati</t>
  </si>
  <si>
    <t>Syahriani</t>
  </si>
  <si>
    <t>Heriani</t>
  </si>
  <si>
    <t>Hj. Ira indira</t>
  </si>
  <si>
    <t>Hj ira indira</t>
  </si>
  <si>
    <t>Risna</t>
  </si>
  <si>
    <t>Riska</t>
  </si>
  <si>
    <t>Hardiyanzah</t>
  </si>
  <si>
    <t>Hasnawati</t>
  </si>
  <si>
    <t>Herawati</t>
  </si>
  <si>
    <t>Herman</t>
  </si>
  <si>
    <t>Ridayana</t>
  </si>
  <si>
    <t>Hj nadira</t>
  </si>
  <si>
    <t>Pembayaran piutang sementara</t>
  </si>
  <si>
    <t>Pencairan suriani</t>
  </si>
  <si>
    <t>Sarina</t>
  </si>
  <si>
    <t>Hasniati</t>
  </si>
  <si>
    <t>Nur hikmah</t>
  </si>
  <si>
    <t>Taharuddin</t>
  </si>
  <si>
    <t>Indra umi</t>
  </si>
  <si>
    <t>Jayanti</t>
  </si>
  <si>
    <t>HAswinda</t>
  </si>
  <si>
    <t>Wellu</t>
  </si>
  <si>
    <t>Rahman</t>
  </si>
  <si>
    <t>Surianto</t>
  </si>
  <si>
    <t>Nurpaida</t>
  </si>
  <si>
    <t>Hasanuddin</t>
  </si>
  <si>
    <t>Hamdiah</t>
  </si>
  <si>
    <t>Suriani</t>
  </si>
  <si>
    <t>Ramlah</t>
  </si>
  <si>
    <t>M.akil</t>
  </si>
  <si>
    <t>Mallombasi</t>
  </si>
  <si>
    <t>Nurul azmi</t>
  </si>
  <si>
    <t>Fatmawati</t>
  </si>
  <si>
    <t>Jaharuddin</t>
  </si>
  <si>
    <t>Irma alisa</t>
  </si>
  <si>
    <t>Nurdaliah</t>
  </si>
  <si>
    <t>Fitriani</t>
  </si>
  <si>
    <t>Ameliah</t>
  </si>
  <si>
    <t>Pinjamaan sementara fatmwati</t>
  </si>
  <si>
    <t>Gaji pegawai bumdes</t>
  </si>
  <si>
    <t>Setoran gas</t>
  </si>
  <si>
    <t>Muhlis</t>
  </si>
  <si>
    <t>Yatti</t>
  </si>
  <si>
    <t>Umar</t>
  </si>
  <si>
    <t>Hj nur asia</t>
  </si>
  <si>
    <t>I raja</t>
  </si>
  <si>
    <t>Mariani</t>
  </si>
  <si>
    <t>Indah Purnamasari</t>
  </si>
  <si>
    <t>Fatimah hj</t>
  </si>
  <si>
    <t>Hj wali</t>
  </si>
  <si>
    <t>MAriati Zainuddin</t>
  </si>
  <si>
    <t>La beddu</t>
  </si>
  <si>
    <t>Hj hasnah D</t>
  </si>
  <si>
    <t xml:space="preserve">Satria SInring </t>
  </si>
  <si>
    <t>I baji</t>
  </si>
  <si>
    <t>Moh. haeruddin</t>
  </si>
  <si>
    <t>Masitoh</t>
  </si>
  <si>
    <t>Darsiah</t>
  </si>
  <si>
    <t>Naharuddin</t>
  </si>
  <si>
    <t>Ardiyanzah</t>
  </si>
  <si>
    <t>Keuntungan bengkel</t>
  </si>
  <si>
    <t>fee bank</t>
  </si>
  <si>
    <t>keuntungan brilink</t>
  </si>
  <si>
    <t>MENGETAHUI</t>
  </si>
  <si>
    <t>Disetujui Oleh</t>
  </si>
  <si>
    <t>Dibuat Oleh</t>
  </si>
  <si>
    <t>uang bengkel</t>
  </si>
  <si>
    <t>hutang dibrilnk</t>
  </si>
  <si>
    <t>IRMA ALISA</t>
  </si>
  <si>
    <t>,</t>
  </si>
  <si>
    <t>Direktur</t>
  </si>
  <si>
    <t>Bendahara BUMDes Sejahtera</t>
  </si>
  <si>
    <t>hutang</t>
  </si>
  <si>
    <t>BUKU BANTU</t>
  </si>
  <si>
    <t>MODAL USAHA SYARIAH</t>
  </si>
  <si>
    <t>Hari Tanggal-Bulan-Tahun</t>
  </si>
  <si>
    <t>: 31 AGUSTUS 2026</t>
  </si>
  <si>
    <t>NO</t>
  </si>
  <si>
    <t>NASABAH</t>
  </si>
  <si>
    <t>JML PINJAMAN</t>
  </si>
  <si>
    <t>ANGSURAN</t>
  </si>
  <si>
    <t>SISA</t>
  </si>
  <si>
    <t>TUNGGAKAN BAGI HASIL 2.5%</t>
  </si>
  <si>
    <t>KET</t>
  </si>
  <si>
    <t xml:space="preserve">SISA </t>
  </si>
  <si>
    <t>POKOK</t>
  </si>
  <si>
    <t>B. SIL 2.5%</t>
  </si>
  <si>
    <t xml:space="preserve">POKOK </t>
  </si>
  <si>
    <t>ASTRINA</t>
  </si>
  <si>
    <t>Ariyanto.SH.MH.</t>
  </si>
  <si>
    <t>Satria Sinring</t>
  </si>
  <si>
    <t>ST.Hasnah</t>
  </si>
  <si>
    <t>Sukmawati</t>
  </si>
  <si>
    <t>Hj.Nadira</t>
  </si>
  <si>
    <t>Indra Umi Rulianti</t>
  </si>
  <si>
    <t>Nurfaidah</t>
  </si>
  <si>
    <t>Tumina</t>
  </si>
  <si>
    <t>stop bagi hasil</t>
  </si>
  <si>
    <t>Ratna S</t>
  </si>
  <si>
    <t>Fadillah</t>
  </si>
  <si>
    <t>Nurhayati Bahtiar</t>
  </si>
  <si>
    <t>Wahidah</t>
  </si>
  <si>
    <t>Sakka Batupute</t>
  </si>
  <si>
    <t>stp bagi hasil</t>
  </si>
  <si>
    <t>Aisyah</t>
  </si>
  <si>
    <t>15-07-2020</t>
  </si>
  <si>
    <t>Nurjanna</t>
  </si>
  <si>
    <t>A.Haerul</t>
  </si>
  <si>
    <t>22-10-2020</t>
  </si>
  <si>
    <t>usman</t>
  </si>
  <si>
    <t>11-01-2022</t>
  </si>
  <si>
    <t>10-01-2022</t>
  </si>
  <si>
    <t>FITRIANI A</t>
  </si>
  <si>
    <t>FITRIANI B</t>
  </si>
  <si>
    <t>Hj.Wali</t>
  </si>
  <si>
    <t>stp bg hasil</t>
  </si>
  <si>
    <t xml:space="preserve">WELLU </t>
  </si>
  <si>
    <t>DEWI</t>
  </si>
  <si>
    <t>14-01-2022</t>
  </si>
  <si>
    <t>mariati zainuddin</t>
  </si>
  <si>
    <t>MULIANI</t>
  </si>
  <si>
    <t>05-04-2022</t>
  </si>
  <si>
    <t>RUSMIATI AWERANGE</t>
  </si>
  <si>
    <t>01-10-2022</t>
  </si>
  <si>
    <t>Hj Rosniah</t>
  </si>
  <si>
    <t>stp sementara</t>
  </si>
  <si>
    <t>Iraja</t>
  </si>
  <si>
    <t>25-11-2022</t>
  </si>
  <si>
    <t>Labeddu</t>
  </si>
  <si>
    <t>26-11-2022</t>
  </si>
  <si>
    <t>30-11-2022</t>
  </si>
  <si>
    <t>Roslaelah Damis</t>
  </si>
  <si>
    <t>03-12-2022</t>
  </si>
  <si>
    <t>Zulfikar</t>
  </si>
  <si>
    <t>06-12-2022</t>
  </si>
  <si>
    <t>Baharuddin</t>
  </si>
  <si>
    <t>07-12-2022</t>
  </si>
  <si>
    <t>I BAJI</t>
  </si>
  <si>
    <t>08-02-2023</t>
  </si>
  <si>
    <t>RAMLAH</t>
  </si>
  <si>
    <t>SURIANI</t>
  </si>
  <si>
    <t>MARIANI</t>
  </si>
  <si>
    <t>DASWATI</t>
  </si>
  <si>
    <t>Yuliana</t>
  </si>
  <si>
    <t>SYAHRIANI</t>
  </si>
  <si>
    <t>ST.MASITOH</t>
  </si>
  <si>
    <t>10-02-2023</t>
  </si>
  <si>
    <t>Irma Ujunge</t>
  </si>
  <si>
    <t>JUMIATI</t>
  </si>
  <si>
    <t>10-04-2023</t>
  </si>
  <si>
    <t xml:space="preserve">SUMARNI/naharuddin </t>
  </si>
  <si>
    <t>RISNA</t>
  </si>
  <si>
    <t>NAHIRA</t>
  </si>
  <si>
    <t>DARSIAH</t>
  </si>
  <si>
    <t>HASLINDA</t>
  </si>
  <si>
    <t>SARINA</t>
  </si>
  <si>
    <t>SAMSINAR</t>
  </si>
  <si>
    <t>FATIMAH HJ</t>
  </si>
  <si>
    <t>SA'NANG</t>
  </si>
  <si>
    <t>blm bulan 8</t>
  </si>
  <si>
    <t>ANDI YULIAH</t>
  </si>
  <si>
    <t>SULVIANI KARMAN</t>
  </si>
  <si>
    <t>MULIATI</t>
  </si>
  <si>
    <t>HASENG</t>
  </si>
  <si>
    <t>DIANA</t>
  </si>
  <si>
    <t>HJ.HAMDANA</t>
  </si>
  <si>
    <t>11-04-2023</t>
  </si>
  <si>
    <t>MOH HAERUDDIN</t>
  </si>
  <si>
    <t>NUR HIKMAH</t>
  </si>
  <si>
    <t>14-04-2023</t>
  </si>
  <si>
    <t>RUPIANAH</t>
  </si>
  <si>
    <t>SAKKA AWERANGE</t>
  </si>
  <si>
    <t>02-08-2023</t>
  </si>
  <si>
    <t>RAHMATIA</t>
  </si>
  <si>
    <t>04-08-2023</t>
  </si>
  <si>
    <t>ARIFIN 2</t>
  </si>
  <si>
    <t>AMIRULLAH</t>
  </si>
  <si>
    <t>15-09-2023</t>
  </si>
  <si>
    <t>Hj.Nur Asia</t>
  </si>
  <si>
    <t>Ridwan</t>
  </si>
  <si>
    <t>Hj.Ira Indira</t>
  </si>
  <si>
    <t>10-07-2026</t>
  </si>
  <si>
    <t>Hj.Salma</t>
  </si>
  <si>
    <t>02-11-2023</t>
  </si>
  <si>
    <t>Nasria</t>
  </si>
  <si>
    <t>08-11-2023</t>
  </si>
  <si>
    <t>Nur Syam</t>
  </si>
  <si>
    <t>11-11-2023</t>
  </si>
  <si>
    <t>Bahar</t>
  </si>
  <si>
    <t>06-12-2023</t>
  </si>
  <si>
    <t>ISEHA</t>
  </si>
  <si>
    <t>29-01-2024</t>
  </si>
  <si>
    <t>Bustaman</t>
  </si>
  <si>
    <t>31-01-2024</t>
  </si>
  <si>
    <t>Nuryadin Jafar</t>
  </si>
  <si>
    <t>02-02-2024</t>
  </si>
  <si>
    <t>Faizal</t>
  </si>
  <si>
    <t>28-02-2024</t>
  </si>
  <si>
    <t>Fitra Dwi Atirah</t>
  </si>
  <si>
    <t>04-03-2024</t>
  </si>
  <si>
    <t>HARDIYANZAH</t>
  </si>
  <si>
    <t>18-03-2024</t>
  </si>
  <si>
    <t>Hasnah. D</t>
  </si>
  <si>
    <t>20-03-2024</t>
  </si>
  <si>
    <t>RIDAYANA</t>
  </si>
  <si>
    <t>HJ. HASRIYANTI</t>
  </si>
  <si>
    <t>SUDIRMAN HALIM</t>
  </si>
  <si>
    <t>22-03-2024</t>
  </si>
  <si>
    <t>NURLINA</t>
  </si>
  <si>
    <t>14-05-2024</t>
  </si>
  <si>
    <t>HERIANI</t>
  </si>
  <si>
    <t>SURIANTO</t>
  </si>
  <si>
    <t>19-05-2024</t>
  </si>
  <si>
    <t>M. AKIL</t>
  </si>
  <si>
    <t>27-05-2024</t>
  </si>
  <si>
    <t>EBIT KURNIAWAN</t>
  </si>
  <si>
    <t>20-06-2024</t>
  </si>
  <si>
    <t>BANK SAMPAH</t>
  </si>
  <si>
    <t>27-06-2024</t>
  </si>
  <si>
    <t>Suriani A.ma Pust</t>
  </si>
  <si>
    <t>11-07-2024</t>
  </si>
  <si>
    <t>15-07-2024</t>
  </si>
  <si>
    <t>Verawaty Sudarmin</t>
  </si>
  <si>
    <t>05-08-2024</t>
  </si>
  <si>
    <t>Idawati</t>
  </si>
  <si>
    <t>09-08-2024</t>
  </si>
  <si>
    <t>Sakriani</t>
  </si>
  <si>
    <t>27-09-2024</t>
  </si>
  <si>
    <t>Hasna</t>
  </si>
  <si>
    <t>Hamdia</t>
  </si>
  <si>
    <t>07-11-2024</t>
  </si>
  <si>
    <t>Hj. Nursam</t>
  </si>
  <si>
    <t>14-11-2024</t>
  </si>
  <si>
    <t>Pak Faizal</t>
  </si>
  <si>
    <t>Hasaruddin, s.sos</t>
  </si>
  <si>
    <t>30-12-2024</t>
  </si>
  <si>
    <t>Abd. Hannan</t>
  </si>
  <si>
    <t>16-4-2025</t>
  </si>
  <si>
    <t>22-7-2025</t>
  </si>
  <si>
    <t>Fitriani Ujunge</t>
  </si>
  <si>
    <t>8-10-2025</t>
  </si>
  <si>
    <t>Ria</t>
  </si>
  <si>
    <t>13-10-2025</t>
  </si>
  <si>
    <t>10-11-2025</t>
  </si>
  <si>
    <t>Abd. Malik</t>
  </si>
  <si>
    <t>12-11-2025</t>
  </si>
  <si>
    <t>13-11-2025</t>
  </si>
  <si>
    <t>20-11-2025</t>
  </si>
  <si>
    <t>27-8-2026</t>
  </si>
  <si>
    <t>Ardiansyah</t>
  </si>
  <si>
    <t>26-1-2026</t>
  </si>
  <si>
    <t>27-2-2026</t>
  </si>
  <si>
    <t>16-4-2026</t>
  </si>
  <si>
    <t>Muhammad Nawir</t>
  </si>
  <si>
    <t>28-4-2026</t>
  </si>
  <si>
    <t>Haslinda staf</t>
  </si>
  <si>
    <t>6-5-2026</t>
  </si>
  <si>
    <t>sdh bulan 9</t>
  </si>
  <si>
    <t>17-7-2026</t>
  </si>
  <si>
    <t>18-7-2026</t>
  </si>
  <si>
    <t>Tasya Aulia</t>
  </si>
  <si>
    <t>Umiarti</t>
  </si>
  <si>
    <t>Kusmala Dewi</t>
  </si>
  <si>
    <t>Rohani Salam</t>
  </si>
  <si>
    <t>Nasrul Suwandi</t>
  </si>
  <si>
    <t>Syahrir</t>
  </si>
  <si>
    <t>Rusmi</t>
  </si>
  <si>
    <t>Nurhayati Bale</t>
  </si>
  <si>
    <t>Hardiana</t>
  </si>
  <si>
    <t>Muhtar</t>
  </si>
  <si>
    <t>Nurdia</t>
  </si>
  <si>
    <t>17-11-2019</t>
  </si>
  <si>
    <t>Ratnawati</t>
  </si>
  <si>
    <t>DARMAWATI</t>
  </si>
  <si>
    <t>Mahrang</t>
  </si>
  <si>
    <t>Mariati Alimin</t>
  </si>
  <si>
    <t>H.Taha</t>
  </si>
  <si>
    <t>Rosmah</t>
  </si>
  <si>
    <t>Fatimah B</t>
  </si>
  <si>
    <t>Rusmiati</t>
  </si>
  <si>
    <t>31-01-2019</t>
  </si>
  <si>
    <t>Akriani Hakim</t>
  </si>
  <si>
    <t>Ariyanin Arifin</t>
  </si>
  <si>
    <t>Madong</t>
  </si>
  <si>
    <t>13-09-2020</t>
  </si>
  <si>
    <t>Busman</t>
  </si>
  <si>
    <t>Sennang</t>
  </si>
  <si>
    <t>12-10-2020</t>
  </si>
  <si>
    <t>Lis Sugiarti</t>
  </si>
  <si>
    <t>FITRIYANI/ANDIK</t>
  </si>
  <si>
    <t>Hajrah</t>
  </si>
  <si>
    <t>17-09-2020</t>
  </si>
  <si>
    <t>Murianto</t>
  </si>
  <si>
    <t>Hj.ST Hajar</t>
  </si>
  <si>
    <t>15-02-2021</t>
  </si>
  <si>
    <t>Nur Hudayah</t>
  </si>
  <si>
    <t>01-03-2023</t>
  </si>
  <si>
    <t>KASRIAH</t>
  </si>
  <si>
    <t>Agusniar</t>
  </si>
  <si>
    <t>Mengetahui</t>
  </si>
  <si>
    <t>Diperiksa Oleh</t>
  </si>
  <si>
    <t xml:space="preserve">KEPALA UNIT </t>
  </si>
  <si>
    <t>BENDAHARA BUMDes Sejahtera</t>
  </si>
  <si>
    <t>FATMAWATI</t>
  </si>
  <si>
    <t>LAPORAN KEUANGAN KEPALA UNIT USAHA MULTIGUNA FINANCIAL BUMDes SEJAHTERA</t>
  </si>
  <si>
    <t>DESA BATUPUTE KEC.SOPPENG RIAJA KAB.BARRU BULAN AGUSTUS 2026</t>
  </si>
  <si>
    <t>Tgl Beli</t>
  </si>
  <si>
    <t>Nama</t>
  </si>
  <si>
    <t>Jenis Brg</t>
  </si>
  <si>
    <t>HARGA BELI</t>
  </si>
  <si>
    <t>LABA</t>
  </si>
  <si>
    <t>TOTAL</t>
  </si>
  <si>
    <t>Jkt Waktu</t>
  </si>
  <si>
    <t>PEMBAYARAN</t>
  </si>
  <si>
    <t>Saldo</t>
  </si>
  <si>
    <t>KEUNTNG</t>
  </si>
  <si>
    <t>Ke</t>
  </si>
  <si>
    <t>TGL</t>
  </si>
  <si>
    <t>Pokok</t>
  </si>
  <si>
    <t>Keuntungan</t>
  </si>
  <si>
    <t>JML</t>
  </si>
  <si>
    <t xml:space="preserve">Pokok </t>
  </si>
  <si>
    <t>HP.OPPO A9</t>
  </si>
  <si>
    <t>Aswar</t>
  </si>
  <si>
    <t>HP VIVO Y19</t>
  </si>
  <si>
    <t>Fatimah</t>
  </si>
  <si>
    <t>Brng Dagangan</t>
  </si>
  <si>
    <t>HP.OppoA52020</t>
  </si>
  <si>
    <t>Satriandi</t>
  </si>
  <si>
    <t>Conventer UFI</t>
  </si>
  <si>
    <t>Resky.A</t>
  </si>
  <si>
    <t>HP OPPO AIK</t>
  </si>
  <si>
    <t>Sri Utami.K</t>
  </si>
  <si>
    <t>HP OPPO A5RAM4</t>
  </si>
  <si>
    <t>Sabrani</t>
  </si>
  <si>
    <t>HP SAMSUNGJ7</t>
  </si>
  <si>
    <t>RUKMAN HAMID</t>
  </si>
  <si>
    <t>Barang Campuran</t>
  </si>
  <si>
    <t>Darmawati</t>
  </si>
  <si>
    <t>HP OPPOA5 2020</t>
  </si>
  <si>
    <t>Budiman</t>
  </si>
  <si>
    <t>HP XIOMI REDMI 8</t>
  </si>
  <si>
    <t>Ariyani Arifin II</t>
  </si>
  <si>
    <t>TV</t>
  </si>
  <si>
    <t>05-04-2024</t>
  </si>
  <si>
    <t>Herman saputra</t>
  </si>
  <si>
    <t>BAN MOBIL</t>
  </si>
  <si>
    <t>Kistang</t>
  </si>
  <si>
    <t>Perdagangan</t>
  </si>
  <si>
    <t>Wadang</t>
  </si>
  <si>
    <t>HP</t>
  </si>
  <si>
    <t>23-11-2022</t>
  </si>
  <si>
    <t>14-05-2023</t>
  </si>
  <si>
    <t>SUDARMIN Ujungge</t>
  </si>
  <si>
    <t>16-07-2023</t>
  </si>
  <si>
    <t>Agustang</t>
  </si>
  <si>
    <t>Barang</t>
  </si>
  <si>
    <t>02-12-2023</t>
  </si>
  <si>
    <t>Nurdalia 2</t>
  </si>
  <si>
    <t>SENG RUMAH</t>
  </si>
  <si>
    <t>Kosmetik</t>
  </si>
  <si>
    <t>Idris</t>
  </si>
  <si>
    <t>barang Bangunan</t>
  </si>
  <si>
    <t>Hera Prawati</t>
  </si>
  <si>
    <t>Genset</t>
  </si>
  <si>
    <t>03-07-2024</t>
  </si>
  <si>
    <t>Yusnita Zainal Arifin</t>
  </si>
  <si>
    <t>HP Samsung</t>
  </si>
  <si>
    <t>bulan 10 ditagih</t>
  </si>
  <si>
    <t>10-07-2024</t>
  </si>
  <si>
    <t>Irtika Adillah</t>
  </si>
  <si>
    <t>Laptop</t>
  </si>
  <si>
    <t>Motor Honda</t>
  </si>
  <si>
    <t>16-07-2024</t>
  </si>
  <si>
    <t>Nurul asmi/fatma</t>
  </si>
  <si>
    <t>19-07-2024</t>
  </si>
  <si>
    <t>Irma</t>
  </si>
  <si>
    <t>Motor Yamaha</t>
  </si>
  <si>
    <t>11-10-2024</t>
  </si>
  <si>
    <t>Muh. Kurniawan, SE</t>
  </si>
  <si>
    <t>Kredit HP Samsung</t>
  </si>
  <si>
    <t>05-11-2024</t>
  </si>
  <si>
    <t>01-01-2025</t>
  </si>
  <si>
    <t>Bahan Bangunan</t>
  </si>
  <si>
    <t>11-8-2025</t>
  </si>
  <si>
    <t>Tab</t>
  </si>
  <si>
    <t>29-8-2025</t>
  </si>
  <si>
    <t>Mansyur</t>
  </si>
  <si>
    <t>Jaring</t>
  </si>
  <si>
    <t>Damis</t>
  </si>
  <si>
    <t>Sofyan</t>
  </si>
  <si>
    <t>Baju Selam</t>
  </si>
  <si>
    <t>Ancu</t>
  </si>
  <si>
    <t>Arif</t>
  </si>
  <si>
    <t>Kacamata+jaring</t>
  </si>
  <si>
    <t>Syamsuddin</t>
  </si>
  <si>
    <t>4-8-2025</t>
  </si>
  <si>
    <t>Hj. Ira Indira</t>
  </si>
  <si>
    <t>HP VIvo</t>
  </si>
  <si>
    <t>15-12-2025</t>
  </si>
  <si>
    <t>Wawan Darmawan</t>
  </si>
  <si>
    <t>30-1-2026</t>
  </si>
  <si>
    <t>Hp Iphone</t>
  </si>
  <si>
    <t>70000 bgi hasil</t>
  </si>
  <si>
    <t>13-2-2026</t>
  </si>
  <si>
    <t>Jam AC</t>
  </si>
  <si>
    <t>13-3-2026</t>
  </si>
  <si>
    <t>Debby</t>
  </si>
  <si>
    <t>17-3-2026</t>
  </si>
  <si>
    <t>HP Vivo</t>
  </si>
  <si>
    <t>18-3-2026</t>
  </si>
  <si>
    <t>Infinix</t>
  </si>
  <si>
    <t>30-3-2026</t>
  </si>
  <si>
    <t>Jual Pecah belah</t>
  </si>
  <si>
    <t>Muh.Tang</t>
  </si>
  <si>
    <t>Pupuk subsidi</t>
  </si>
  <si>
    <t>10-5-2026</t>
  </si>
  <si>
    <t>8-6-2026</t>
  </si>
  <si>
    <t>Evi</t>
  </si>
  <si>
    <t>HP OPPO</t>
  </si>
  <si>
    <t>16-7-2026</t>
  </si>
  <si>
    <t>Haswinda</t>
  </si>
  <si>
    <t>HP SAMSUNG</t>
  </si>
  <si>
    <t xml:space="preserve">JUMLAH </t>
  </si>
  <si>
    <t>Ketua BUMDes Sejahtera</t>
  </si>
  <si>
    <t>SURIANI YUNUS</t>
  </si>
  <si>
    <t xml:space="preserve">REKAPITULASI KEGIATAN </t>
  </si>
  <si>
    <t>BUMDesa SEJAHTERA DESA BATUPUTE KECAMATAN SOPPENG RIAJA KABUPATEN BARRU</t>
  </si>
  <si>
    <t>TAHUN 2026</t>
  </si>
  <si>
    <t>JENIS USAHA</t>
  </si>
  <si>
    <t>MARET</t>
  </si>
  <si>
    <t>LABA BERSIH</t>
  </si>
  <si>
    <t>PEMBAGIAN SHU</t>
  </si>
  <si>
    <t>PADes 75%</t>
  </si>
  <si>
    <t>BUMDes 20%</t>
  </si>
  <si>
    <t>CAD 5%</t>
  </si>
  <si>
    <t>MULTI FINACE</t>
  </si>
  <si>
    <t>BARANG&amp;JASA</t>
  </si>
  <si>
    <t>PANGKALAN GAS ELPIJI</t>
  </si>
  <si>
    <t>TOKO ALAT BENGKEL</t>
  </si>
  <si>
    <t>APRIL</t>
  </si>
  <si>
    <t>JUNI</t>
  </si>
  <si>
    <t>piutang</t>
  </si>
  <si>
    <t>multi</t>
  </si>
  <si>
    <t>barang dan jasa</t>
  </si>
  <si>
    <t>gas</t>
  </si>
  <si>
    <t>JULI</t>
  </si>
  <si>
    <t>AGUSTUS</t>
  </si>
  <si>
    <t>SEPTEMBER</t>
  </si>
  <si>
    <t>bor</t>
  </si>
  <si>
    <t>pengeluaran</t>
  </si>
  <si>
    <t>pades</t>
  </si>
  <si>
    <t>bumdes</t>
  </si>
  <si>
    <t>KETAPANG</t>
  </si>
  <si>
    <t>OKTOBER</t>
  </si>
  <si>
    <t>NOVEMBER</t>
  </si>
  <si>
    <t>DESEMBER</t>
  </si>
  <si>
    <t>BUMDes</t>
  </si>
  <si>
    <t>Pades</t>
  </si>
  <si>
    <t>CADANGAN 5%</t>
  </si>
  <si>
    <t>Mesin bor</t>
  </si>
  <si>
    <t>Kunci</t>
  </si>
  <si>
    <t>BUKU BANTU BRILink</t>
  </si>
  <si>
    <t>BUMDes SEJAHTERA DESA BATUPUTE KEC-SOPPENG RIAJA</t>
  </si>
  <si>
    <t>KABUPATEN BARRU TAHUN 2026</t>
  </si>
  <si>
    <t>Bulan AGUSTUS 2026</t>
  </si>
  <si>
    <t>No</t>
  </si>
  <si>
    <t>Transaksi</t>
  </si>
  <si>
    <t>Tgl Transaksi</t>
  </si>
  <si>
    <t>Saldo Awal  Sebelum Tutup Buku</t>
  </si>
  <si>
    <t>Saldo S/d Bulan lalu ( Thn Berjalan )</t>
  </si>
  <si>
    <t>Penarikan</t>
  </si>
  <si>
    <t>31/8/2026</t>
  </si>
  <si>
    <t>Transfer</t>
  </si>
  <si>
    <t>ATM Sendiri</t>
  </si>
  <si>
    <t>Fee bank</t>
  </si>
  <si>
    <t>Total Transaksi Bulan ini</t>
  </si>
  <si>
    <t>Gaji Karyawan brilink</t>
  </si>
  <si>
    <t>BIAYA OPERASIONAL BULAN AGUSTUS 2026</t>
  </si>
  <si>
    <t>Uraian</t>
  </si>
  <si>
    <t>JMLH BRG</t>
  </si>
  <si>
    <t>SATUAN</t>
  </si>
  <si>
    <t>HARGA SATUAN</t>
  </si>
  <si>
    <t>JUMLAH HARGA</t>
  </si>
  <si>
    <t>Oli untuk mesin pompa air</t>
  </si>
  <si>
    <t>kali</t>
  </si>
  <si>
    <t>gommo untuk mesin pompa</t>
  </si>
  <si>
    <t>Transport pak desa ke makassar (briliank)</t>
  </si>
  <si>
    <t>Transport kemkassr untuk toko bengkel</t>
  </si>
  <si>
    <t>BIaya cetak rekening koran</t>
  </si>
  <si>
    <t>Admin bank</t>
  </si>
  <si>
    <t>Rapat internal</t>
  </si>
  <si>
    <t>DESA BATUPUTE KEC.SOPPENG RIAJA</t>
  </si>
  <si>
    <t xml:space="preserve">Dibuat Oleh </t>
  </si>
  <si>
    <t>DAFTAR INSENTIF PENGAWAS DAN PENASEHAT BUMDesa SEJAHTERA</t>
  </si>
  <si>
    <t>DESA BATUPUTE KECAMATAN SOPPENG RIAJA</t>
  </si>
  <si>
    <t>KABUPATEN BARRU</t>
  </si>
  <si>
    <t>BULAN : AGUSTUS 2026</t>
  </si>
  <si>
    <t>JABATAN</t>
  </si>
  <si>
    <t>Tanda Tangan</t>
  </si>
  <si>
    <t>JAHARUDDIN</t>
  </si>
  <si>
    <t>Penasehat</t>
  </si>
  <si>
    <t>NURDALIAH</t>
  </si>
  <si>
    <t>Ketua Pengawas</t>
  </si>
  <si>
    <t>SUKARDI, S.E</t>
  </si>
  <si>
    <t>Anggota Pengawas</t>
  </si>
  <si>
    <t>DAFTAR INSENTIF PENGURUS BUMDesa SEJAHTERA</t>
  </si>
  <si>
    <t>Bulan : AGUSTUS 2026</t>
  </si>
  <si>
    <t>AMELIAH</t>
  </si>
  <si>
    <t>SEKRETARIS</t>
  </si>
  <si>
    <t>K.UNIT</t>
  </si>
  <si>
    <t>4.</t>
  </si>
  <si>
    <t>LAPORAN KEUANGAN KEPALA UNIT USAHA ALAT TOKO BENGKEL BUMDes SEJAHTERA</t>
  </si>
  <si>
    <t>NAMA BARANG</t>
  </si>
  <si>
    <t>STOK BARANG</t>
  </si>
  <si>
    <t>TRANSAKSI</t>
  </si>
  <si>
    <t>KEUNTUNGAN</t>
  </si>
  <si>
    <t>BUMDES 70%</t>
  </si>
  <si>
    <t>KANIT 30%</t>
  </si>
  <si>
    <t>LAMA</t>
  </si>
  <si>
    <t>LAKU</t>
  </si>
  <si>
    <t xml:space="preserve">SISA STOK
</t>
  </si>
  <si>
    <t>SAT</t>
  </si>
  <si>
    <t>PENJUALAN</t>
  </si>
  <si>
    <t>JML SAT</t>
  </si>
  <si>
    <t>HARGA SAT</t>
  </si>
  <si>
    <t>JML HARGA</t>
  </si>
  <si>
    <t>MAXXIS DIAMOND 90/90-14</t>
  </si>
  <si>
    <t>MAXXIS VICTRA 110/70-13</t>
  </si>
  <si>
    <t>MAXXIS VICTRA 120/70-13</t>
  </si>
  <si>
    <t>MAXXIS VICTRA 150/70-13</t>
  </si>
  <si>
    <t>FRD EVO 80/80-14</t>
  </si>
  <si>
    <t>FRD EVO 90/80-14</t>
  </si>
  <si>
    <t>FRD EVO 80/90-14</t>
  </si>
  <si>
    <t>FRD EVO 90/90-14</t>
  </si>
  <si>
    <t>FRD EVO 100/80-14</t>
  </si>
  <si>
    <t>VAN BELT K44</t>
  </si>
  <si>
    <t>VAN BELT KVY</t>
  </si>
  <si>
    <t>VAN BELT K16</t>
  </si>
  <si>
    <t>VAN BELT KZL</t>
  </si>
  <si>
    <t>VAN BELT K25</t>
  </si>
  <si>
    <t>VAN BELT K9F</t>
  </si>
  <si>
    <t>VAN BELT K86</t>
  </si>
  <si>
    <t>VAN BELT KOJ</t>
  </si>
  <si>
    <t>KAMPAS CAKRAM DEPAN MS</t>
  </si>
  <si>
    <t>KAMPAS CAKRAM DEPAN MIO</t>
  </si>
  <si>
    <t>KAMPAS CAKRAM DEPAN BEAT</t>
  </si>
  <si>
    <t>KAMPAS CAKRAM DEPAN VARIO</t>
  </si>
  <si>
    <t>KAMPAS CAKRAM DEPAN SATRIA/SUPRA</t>
  </si>
  <si>
    <t>KAMPAS CAKRAM BELAKANG SATRIA</t>
  </si>
  <si>
    <t>KAMPAS BELAKANG MIO</t>
  </si>
  <si>
    <t>KAMPAS BELAKANG JUPITER/FIZ R</t>
  </si>
  <si>
    <t>KAMPAS BELAKANG BEAT</t>
  </si>
  <si>
    <t>KARET MASTER MIO</t>
  </si>
  <si>
    <t>KARET MASTER BEAT</t>
  </si>
  <si>
    <t>KARET MASTER SUPRA</t>
  </si>
  <si>
    <t>LAHAR 6201</t>
  </si>
  <si>
    <t>LAHAR 6301</t>
  </si>
  <si>
    <t>LAHAR 6300</t>
  </si>
  <si>
    <t>LAHAR 6203</t>
  </si>
  <si>
    <t>LAHAR 6004</t>
  </si>
  <si>
    <t>BALON DEPAN</t>
  </si>
  <si>
    <t>BALON STOP</t>
  </si>
  <si>
    <t>YAMALUBE SUPER MATIC</t>
  </si>
  <si>
    <t>YAMALUBE SPORT</t>
  </si>
  <si>
    <t>YAMALUBE MATIC</t>
  </si>
  <si>
    <t>YAMALUBE SILVER</t>
  </si>
  <si>
    <t>SHELL MATIC 0,8</t>
  </si>
  <si>
    <t>SHELL MATIC 1 LTR</t>
  </si>
  <si>
    <t>TOP MATIC 0,8</t>
  </si>
  <si>
    <t>TOP MATIC 1 LTR</t>
  </si>
  <si>
    <t>MOTUL MATIC 0,8</t>
  </si>
  <si>
    <t>MOTUL MATIC 1 LTR</t>
  </si>
  <si>
    <t>CASTROL ACTIV MATIC 0,8</t>
  </si>
  <si>
    <t>CASTROL POWER 1 LTR</t>
  </si>
  <si>
    <t>CASTROL 2T</t>
  </si>
  <si>
    <t>EVALUBE 2T</t>
  </si>
  <si>
    <t>MESRAN 2T</t>
  </si>
  <si>
    <t>MESRAN SUPER 0,8</t>
  </si>
  <si>
    <t>MESRAN SUPER 1 LTR</t>
  </si>
  <si>
    <t>S60 0,8</t>
  </si>
  <si>
    <t>S60 1 LTR</t>
  </si>
  <si>
    <t>MPX 1 (0,8)</t>
  </si>
  <si>
    <t>MPX 2 (0,8)</t>
  </si>
  <si>
    <t>GARDAN YAMAHA BESAR</t>
  </si>
  <si>
    <t>GARDAN YAMAHA KECIL</t>
  </si>
  <si>
    <t>GARDAN HONDA</t>
  </si>
  <si>
    <t>FEDERAL MATIC (0,8)</t>
  </si>
  <si>
    <t>FRD FLEMO 70/90-17</t>
  </si>
  <si>
    <t>FRD FLEMO 90/90-17</t>
  </si>
  <si>
    <t>BAN DALAM 300-18</t>
  </si>
  <si>
    <t>BAN DALAM 250/275-21</t>
  </si>
  <si>
    <t>10/3/2026</t>
  </si>
  <si>
    <t>BAN DALAM 250/275-14</t>
  </si>
  <si>
    <t>BAN DALAM 250/275-17</t>
  </si>
  <si>
    <t>2/4/2026</t>
  </si>
  <si>
    <t>OLI SHOCK DEPAN</t>
  </si>
  <si>
    <t>LAMPU DEPAN LED</t>
  </si>
  <si>
    <t>VAN BELT MIO</t>
  </si>
  <si>
    <t>VAN BELT MIO J</t>
  </si>
  <si>
    <t>PENTIL TUBLES</t>
  </si>
  <si>
    <t>OLI YAMALUBE MATIC</t>
  </si>
  <si>
    <t>OLI MESRAN 1 LITER</t>
  </si>
  <si>
    <t>OLI SIEL SHOCK DEPAN</t>
  </si>
  <si>
    <t>PSG</t>
  </si>
  <si>
    <t>OLI SIEL SHOCK DEPAN CBR</t>
  </si>
  <si>
    <t>OLI SIEL SHOCK DEPAN N MAX</t>
  </si>
  <si>
    <t>OLI SIEL SHOCK DEPAN RXK</t>
  </si>
  <si>
    <t>OLI SIEL SHOCK DEPAN SCORPIO</t>
  </si>
  <si>
    <t>OLI SIEL SHOCK DEPAN SUZUKI</t>
  </si>
  <si>
    <t>OLI SIEL SHOCK DEPAN CRF</t>
  </si>
  <si>
    <t>OLI SIEL KLEP YAMAHA</t>
  </si>
  <si>
    <t>BUSI MATIC</t>
  </si>
  <si>
    <t>BUSI FU I50</t>
  </si>
  <si>
    <t>BUSI NINJA</t>
  </si>
  <si>
    <t>COLT STATER</t>
  </si>
  <si>
    <t>TALI GAS VESPA</t>
  </si>
  <si>
    <t>TALI KOPLENG VESPA</t>
  </si>
  <si>
    <t>BAN DALAM 250-17</t>
  </si>
  <si>
    <t>BAN DALAM 275-17</t>
  </si>
  <si>
    <t>BAN DALAM 250-14</t>
  </si>
  <si>
    <t>TALI REM BELAKANG</t>
  </si>
  <si>
    <t>11/7/2026</t>
  </si>
  <si>
    <t>BAN DALAM 275/300-14</t>
  </si>
  <si>
    <t>11/7/2027</t>
  </si>
  <si>
    <t>FITRIANI</t>
  </si>
  <si>
    <t>MODAL AWAL</t>
  </si>
  <si>
    <t>BULAN DESEMBER</t>
  </si>
  <si>
    <t>Jenis Inventaris</t>
  </si>
  <si>
    <t>Tanggal Pembelian</t>
  </si>
  <si>
    <t>Bukti Pembelian</t>
  </si>
  <si>
    <t>Unit</t>
  </si>
  <si>
    <t>Harga Satuan</t>
  </si>
  <si>
    <t>Harga Perolehan</t>
  </si>
  <si>
    <t>Umur Ekonomis</t>
  </si>
  <si>
    <t>Penyusutan / Bulan</t>
  </si>
  <si>
    <t>akumulasi penyusutan sd 31 desmber 2024</t>
  </si>
  <si>
    <t>Penyusutan tahun 2025</t>
  </si>
  <si>
    <t>TOTAL PENYUSUTAN</t>
  </si>
  <si>
    <t>Penyusutan per-</t>
  </si>
  <si>
    <t>SISA PEROLEHAN</t>
  </si>
  <si>
    <t>DECEMBER</t>
  </si>
  <si>
    <t>Bangunan/gedung dan Prasarana</t>
  </si>
  <si>
    <t>Mesin dan Inventaris</t>
  </si>
  <si>
    <t>Molen</t>
  </si>
  <si>
    <t>28-8-2025</t>
  </si>
  <si>
    <t>Nota</t>
  </si>
  <si>
    <t>Bor air titik 1-7</t>
  </si>
  <si>
    <t>Mesin Diesel</t>
  </si>
  <si>
    <t>26-9-2025</t>
  </si>
  <si>
    <t>Bor air titik 1-2</t>
  </si>
  <si>
    <t>31-10-2025</t>
  </si>
  <si>
    <t>Komputer</t>
  </si>
  <si>
    <t>EPSON L310</t>
  </si>
  <si>
    <t>laptop</t>
  </si>
  <si>
    <t>14-01-2024</t>
  </si>
  <si>
    <t>Truk, Alat Mekanik dan Alat Berat</t>
  </si>
  <si>
    <t>Kendaraan</t>
  </si>
  <si>
    <t>Motor</t>
  </si>
  <si>
    <t>Inventaris dan Peralatan</t>
  </si>
  <si>
    <t>Lemari</t>
  </si>
  <si>
    <t>Timbangan</t>
  </si>
  <si>
    <t>Lemari Etalase</t>
  </si>
  <si>
    <t>Pemadam kebakaran</t>
  </si>
  <si>
    <t>Pengaman Gas</t>
  </si>
  <si>
    <t>Rante Gas</t>
  </si>
  <si>
    <t>09/102018</t>
  </si>
  <si>
    <t>Meja</t>
  </si>
  <si>
    <t>Kursi Kantor</t>
  </si>
  <si>
    <t>Meja BRILink</t>
  </si>
  <si>
    <t>Kipas Angin</t>
  </si>
  <si>
    <t>Kunci Ring</t>
  </si>
  <si>
    <t>19-09-2024</t>
  </si>
  <si>
    <t>Kunci Pipa 18</t>
  </si>
  <si>
    <t>Batu Widya</t>
  </si>
  <si>
    <t>Mesin Gurinda</t>
  </si>
  <si>
    <t>16-10-2024</t>
  </si>
  <si>
    <t>Lampu Box</t>
  </si>
  <si>
    <t>30-10-2024</t>
  </si>
  <si>
    <t>Gerobak Bor air</t>
  </si>
  <si>
    <t>31-10-2024</t>
  </si>
  <si>
    <t>Travo las Proquip</t>
  </si>
  <si>
    <t>14-05-2025</t>
  </si>
  <si>
    <t>Kaca mata automatis</t>
  </si>
  <si>
    <t>Kawat las</t>
  </si>
  <si>
    <t>Senter Kepala</t>
  </si>
  <si>
    <t>31-05-2025</t>
  </si>
  <si>
    <t>Jas Hujan untuk ketapang</t>
  </si>
  <si>
    <t>23-6-2025</t>
  </si>
  <si>
    <t>Jirgen</t>
  </si>
  <si>
    <t>18-7-2025</t>
  </si>
  <si>
    <t>Tabung gas</t>
  </si>
  <si>
    <t>21-7-2025</t>
  </si>
  <si>
    <t>Timbangan Gabah 150kg</t>
  </si>
  <si>
    <t>13-8-2025</t>
  </si>
  <si>
    <t>Hp vivo</t>
  </si>
  <si>
    <t>15-9-2025</t>
  </si>
  <si>
    <t>Alat pendeteksi uang palsu</t>
  </si>
  <si>
    <t>6-10-2025</t>
  </si>
  <si>
    <t>Akumulasi</t>
  </si>
  <si>
    <t>INVENTARIS</t>
  </si>
  <si>
    <t>Penyusutan tahun 2026</t>
  </si>
  <si>
    <t>lunas</t>
  </si>
  <si>
    <t>LUNAS</t>
  </si>
  <si>
    <t>Alat label harga</t>
  </si>
  <si>
    <t>6-1-2026</t>
  </si>
  <si>
    <t>Scaffolding</t>
  </si>
  <si>
    <t>13-4-2026</t>
  </si>
  <si>
    <t>Sepatu Laras</t>
  </si>
  <si>
    <t>11-5-2026</t>
  </si>
  <si>
    <t>19-5-2026</t>
  </si>
  <si>
    <t>Mesin Penghitung uang</t>
  </si>
  <si>
    <t>11-6-2026</t>
  </si>
  <si>
    <t>Kunci ring dan biji besi</t>
  </si>
  <si>
    <t>19-6-2026</t>
  </si>
  <si>
    <t>Karburator pompa air</t>
  </si>
  <si>
    <t>25-6-2026</t>
  </si>
  <si>
    <t>BIAYA OPERASIONAL MESIN BOR TITIK DELAPAN</t>
  </si>
  <si>
    <t>Tanggal</t>
  </si>
  <si>
    <t>Konsumsi</t>
  </si>
  <si>
    <t>29-7-2025</t>
  </si>
  <si>
    <t>Pipa mizu 3</t>
  </si>
  <si>
    <t>30-7-2025</t>
  </si>
  <si>
    <t>btg</t>
  </si>
  <si>
    <t>Pipa mizu putih 1 1/2</t>
  </si>
  <si>
    <t>SCG-AW over sock 2 1/2</t>
  </si>
  <si>
    <t>buah</t>
  </si>
  <si>
    <t>Galung Jampu</t>
  </si>
  <si>
    <t>Lem ruglue 400 gr</t>
  </si>
  <si>
    <t>kaleng</t>
  </si>
  <si>
    <t>LOMPO E</t>
  </si>
  <si>
    <t>Jaya TS Knee 2 1/2</t>
  </si>
  <si>
    <t>biji</t>
  </si>
  <si>
    <t>Jaya TS Knee 1 1/2</t>
  </si>
  <si>
    <t>Jaya TS Tee 2 1/2</t>
  </si>
  <si>
    <t>Mesin Chang fa R185 H+</t>
  </si>
  <si>
    <t>set</t>
  </si>
  <si>
    <t>BIAYA OPERASIONAL MESIN BOR TITIK SEMBILAN</t>
  </si>
  <si>
    <t>Mesin RI85 H BK</t>
  </si>
  <si>
    <t>1-8-2025</t>
  </si>
  <si>
    <t>Pompa air ns80 3"</t>
  </si>
  <si>
    <t>Selang spiral 3"</t>
  </si>
  <si>
    <t>meter</t>
  </si>
  <si>
    <t>Landasan mesin pompa</t>
  </si>
  <si>
    <t>BIAYA OPERASIONAL MESIN BOR TITIK SEPULUH</t>
  </si>
  <si>
    <t>23-8-2025</t>
  </si>
  <si>
    <t>beli pipa</t>
  </si>
  <si>
    <t>31-7-2025</t>
  </si>
  <si>
    <t>Sewa mobil+transport</t>
  </si>
  <si>
    <t>9-1-2025</t>
  </si>
  <si>
    <t>BIAYA OPERASIONAL MESIN BOR TITIK SEBELAS</t>
  </si>
  <si>
    <t>Selang Lipat 3 x 10</t>
  </si>
  <si>
    <t>roll</t>
  </si>
  <si>
    <t>Selang Lipat 3 x 5</t>
  </si>
  <si>
    <t>uang transport</t>
  </si>
  <si>
    <t>BIAYA OPERASIONAL MESIN BOR TITIK DUABELAS</t>
  </si>
  <si>
    <t>Selang lipat 2x100 tempel karet</t>
  </si>
  <si>
    <t xml:space="preserve">Konsumsi </t>
  </si>
  <si>
    <t>27-8-2025</t>
  </si>
  <si>
    <t>Mesin Jiang Dong R 185 + Pompa Alkon intan 4" komplit</t>
  </si>
  <si>
    <t>29-5-2025</t>
  </si>
  <si>
    <t>Selang Spiral</t>
  </si>
  <si>
    <t>Selang lipat 3 x 5</t>
  </si>
  <si>
    <r>
      <rPr>
        <sz val="11"/>
        <color theme="1"/>
        <rFont val="Calibri"/>
        <charset val="134"/>
        <scheme val="minor"/>
      </rPr>
      <t xml:space="preserve">pipa 2 </t>
    </r>
    <r>
      <rPr>
        <sz val="11"/>
        <color theme="1"/>
        <rFont val="Arial"/>
        <charset val="134"/>
      </rPr>
      <t>½</t>
    </r>
    <r>
      <rPr>
        <sz val="11"/>
        <color theme="1"/>
        <rFont val="Calibri"/>
        <charset val="134"/>
        <scheme val="minor"/>
      </rPr>
      <t xml:space="preserve"> Aw albo</t>
    </r>
  </si>
  <si>
    <t>24-9-2025</t>
  </si>
  <si>
    <t>batang</t>
  </si>
  <si>
    <r>
      <rPr>
        <sz val="11"/>
        <color theme="1"/>
        <rFont val="Calibri"/>
        <charset val="134"/>
        <scheme val="minor"/>
      </rPr>
      <t xml:space="preserve">L 1 </t>
    </r>
    <r>
      <rPr>
        <sz val="11"/>
        <color theme="1"/>
        <rFont val="Arial"/>
        <charset val="134"/>
      </rPr>
      <t>½</t>
    </r>
    <r>
      <rPr>
        <sz val="11"/>
        <color theme="1"/>
        <rFont val="Calibri"/>
        <charset val="134"/>
        <scheme val="minor"/>
      </rPr>
      <t xml:space="preserve"> aw vinilon</t>
    </r>
  </si>
  <si>
    <t>lem isarplas</t>
  </si>
  <si>
    <t>kg</t>
  </si>
  <si>
    <t>Kapstater 6x 160</t>
  </si>
  <si>
    <r>
      <rPr>
        <sz val="11"/>
        <color theme="1"/>
        <rFont val="Calibri"/>
        <charset val="134"/>
        <scheme val="minor"/>
      </rPr>
      <t xml:space="preserve">Over sock 3 x 1 </t>
    </r>
    <r>
      <rPr>
        <sz val="11"/>
        <color theme="1"/>
        <rFont val="Arial"/>
        <charset val="134"/>
      </rPr>
      <t>½</t>
    </r>
  </si>
  <si>
    <r>
      <rPr>
        <sz val="11"/>
        <color theme="1"/>
        <rFont val="Calibri"/>
        <charset val="134"/>
        <scheme val="minor"/>
      </rPr>
      <t>Over sock 2</t>
    </r>
    <r>
      <rPr>
        <sz val="11"/>
        <color theme="1"/>
        <rFont val="Arial"/>
        <charset val="134"/>
      </rPr>
      <t>½</t>
    </r>
    <r>
      <rPr>
        <sz val="11"/>
        <color theme="1"/>
        <rFont val="Calibri"/>
        <charset val="134"/>
        <scheme val="minor"/>
      </rPr>
      <t xml:space="preserve"> x 1 ½</t>
    </r>
  </si>
  <si>
    <r>
      <rPr>
        <sz val="11"/>
        <color theme="1"/>
        <rFont val="Calibri"/>
        <charset val="134"/>
        <scheme val="minor"/>
      </rPr>
      <t xml:space="preserve">tee 2 </t>
    </r>
    <r>
      <rPr>
        <sz val="11"/>
        <color theme="1"/>
        <rFont val="Arial"/>
        <charset val="134"/>
      </rPr>
      <t>½</t>
    </r>
  </si>
  <si>
    <t>oli mesran</t>
  </si>
  <si>
    <t>Pompa air NS80 3"</t>
  </si>
  <si>
    <t xml:space="preserve">Landasan mesin pompa NS80 3" </t>
  </si>
  <si>
    <t>Mesin gurinda</t>
  </si>
  <si>
    <t>Selang lipat 3x100 tempel karet</t>
  </si>
  <si>
    <t>Mesin (M. saing)</t>
  </si>
  <si>
    <t>8-4-2026</t>
  </si>
  <si>
    <t>BIAYA OPERASIONAL PENGELOLAAN AIR</t>
  </si>
  <si>
    <t>Gas</t>
  </si>
  <si>
    <t>05-05-2025</t>
  </si>
  <si>
    <t>Solar</t>
  </si>
  <si>
    <t>2-8-2025</t>
  </si>
  <si>
    <t>liter</t>
  </si>
  <si>
    <t>6-9-2025</t>
  </si>
  <si>
    <t>Busi</t>
  </si>
  <si>
    <t>Amril</t>
  </si>
  <si>
    <t>set rokker</t>
  </si>
  <si>
    <t>9-9-2025</t>
  </si>
  <si>
    <t>galung jampu</t>
  </si>
  <si>
    <t>Upah pengelola</t>
  </si>
  <si>
    <t>lompo e</t>
  </si>
  <si>
    <t>19-9-2025</t>
  </si>
  <si>
    <t>pengeluaran lompo e</t>
  </si>
  <si>
    <t>22-9-2025</t>
  </si>
  <si>
    <t>27-9-2025</t>
  </si>
  <si>
    <t>14-10-2025</t>
  </si>
  <si>
    <t>20-10-2025</t>
  </si>
  <si>
    <t>3-4-2026</t>
  </si>
  <si>
    <t>21-4-2026</t>
  </si>
  <si>
    <t>5-5-2026</t>
  </si>
  <si>
    <t>26-5-2026</t>
  </si>
  <si>
    <t>31-5-2026</t>
  </si>
  <si>
    <t>Selang</t>
  </si>
  <si>
    <t>25-5-2026</t>
  </si>
  <si>
    <t>5-6-2026</t>
  </si>
  <si>
    <t>10-6-2026</t>
  </si>
  <si>
    <t>15-6-2026</t>
  </si>
  <si>
    <t>20-6-2026</t>
  </si>
  <si>
    <t>28-6-2026</t>
  </si>
  <si>
    <t>solar</t>
  </si>
  <si>
    <t>30-6-2026</t>
  </si>
  <si>
    <t>4-7-2026</t>
  </si>
  <si>
    <t>7-7-2026</t>
  </si>
  <si>
    <t>11-7-2026</t>
  </si>
  <si>
    <t>14-7-2026</t>
  </si>
  <si>
    <t>21-7-2026</t>
  </si>
  <si>
    <t>25-7-2026</t>
  </si>
  <si>
    <t>29-7-2026</t>
  </si>
  <si>
    <t>1-8-2026</t>
  </si>
  <si>
    <t>Karung</t>
  </si>
  <si>
    <t>31-3-2026</t>
  </si>
  <si>
    <t>lembar</t>
  </si>
  <si>
    <t>transport</t>
  </si>
  <si>
    <t>28-3-2026</t>
  </si>
  <si>
    <t>2-5-2026</t>
  </si>
  <si>
    <t>8-5-2026</t>
  </si>
  <si>
    <t>12-5-2026</t>
  </si>
  <si>
    <t>17-6-2026</t>
  </si>
  <si>
    <t>23-6-2026</t>
  </si>
  <si>
    <t>26-6-2026</t>
  </si>
  <si>
    <t>23-7-2026</t>
  </si>
  <si>
    <t>01-8-2026</t>
  </si>
  <si>
    <t>Gemmo untuk bor</t>
  </si>
  <si>
    <t>28-7-2025</t>
  </si>
  <si>
    <t>Oli mesra</t>
  </si>
  <si>
    <t>01-8-2025</t>
  </si>
  <si>
    <t>Uang makan</t>
  </si>
  <si>
    <t>Uang transport tukar pipa</t>
  </si>
  <si>
    <t>16-5-2025</t>
  </si>
  <si>
    <t>11 mesin</t>
  </si>
  <si>
    <t>mesin</t>
  </si>
  <si>
    <t>28-10-2025</t>
  </si>
  <si>
    <t>oli</t>
  </si>
  <si>
    <t>Bor air dipindahkan</t>
  </si>
  <si>
    <t>24-11-2025</t>
  </si>
  <si>
    <t>Mantanaince bor (haseng)</t>
  </si>
  <si>
    <t>30-11-2025</t>
  </si>
  <si>
    <t>Mantanaince bor (pak malik)</t>
  </si>
  <si>
    <t>17-4-2026</t>
  </si>
  <si>
    <t>Pemasangan mesin bor</t>
  </si>
  <si>
    <t>20-4-2026</t>
  </si>
  <si>
    <t>22-4-2026</t>
  </si>
  <si>
    <t>buat bendungan di lompo e</t>
  </si>
  <si>
    <t>1-5-2026</t>
  </si>
  <si>
    <t>Mantanaince mesin bor bensin</t>
  </si>
  <si>
    <t>Mantanaince mesin (pak malik )</t>
  </si>
  <si>
    <t>Lahar +ongkos kerja</t>
  </si>
  <si>
    <t>beli oli dan gommo</t>
  </si>
  <si>
    <t>Pumbel+lem</t>
  </si>
  <si>
    <t>29-6-2026</t>
  </si>
  <si>
    <t>Fumbel b50</t>
  </si>
  <si>
    <t>5-7-2026</t>
  </si>
  <si>
    <t>kunci T</t>
  </si>
  <si>
    <t>fumbel</t>
  </si>
  <si>
    <t>Fumbel</t>
  </si>
  <si>
    <t>13-7-2026</t>
  </si>
  <si>
    <t>PENGADAAN BARANG DAN JASA</t>
  </si>
  <si>
    <t>JUMLAH BARANG</t>
  </si>
  <si>
    <t>HARGA JUAL SATUAN</t>
  </si>
  <si>
    <t>HARGA JUAL</t>
  </si>
  <si>
    <t>Besi beton polos 12x12</t>
  </si>
  <si>
    <t>27-7-26</t>
  </si>
  <si>
    <t>Btg</t>
  </si>
  <si>
    <t>Besi beton polos 8x12</t>
  </si>
  <si>
    <t>Kawat</t>
  </si>
  <si>
    <t>Paku 5 cm</t>
  </si>
  <si>
    <t>mines uang</t>
  </si>
  <si>
    <t>Paku 7 cm</t>
  </si>
  <si>
    <t>blm terbyr</t>
  </si>
  <si>
    <t>Triplek/ Plywood 9 mm</t>
  </si>
  <si>
    <t>mines kawat</t>
  </si>
  <si>
    <t>yang belum dibyr</t>
  </si>
  <si>
    <t>paku</t>
  </si>
  <si>
    <t>Talangan kayu</t>
  </si>
  <si>
    <t>Talangan bambu</t>
  </si>
  <si>
    <t>Talangan gaji tukang</t>
  </si>
  <si>
    <t>zak</t>
  </si>
  <si>
    <t>SUDAH TERBAYAR</t>
  </si>
  <si>
    <t>KAWAT</t>
  </si>
  <si>
    <t>KG</t>
  </si>
  <si>
    <t>mobil</t>
  </si>
  <si>
    <t>SUDAH TERBAYAR ( paku )</t>
  </si>
  <si>
    <t>19-8-26</t>
  </si>
  <si>
    <t>kubik</t>
  </si>
  <si>
    <t>total harga jual</t>
  </si>
  <si>
    <t>tambahan timbunan</t>
  </si>
  <si>
    <t>molen</t>
  </si>
  <si>
    <t>total yang diterima</t>
  </si>
  <si>
    <t>solar+ gas</t>
  </si>
  <si>
    <t>ANGGARAN BOR AIR</t>
  </si>
  <si>
    <t>TERPAKAI UNTUK</t>
  </si>
  <si>
    <t>AWAL ANGGARAN</t>
  </si>
  <si>
    <t>TITIK 1-7</t>
  </si>
  <si>
    <t>TITIK 1-2</t>
  </si>
  <si>
    <t>BARU</t>
  </si>
  <si>
    <t>PEMBELIAN</t>
  </si>
  <si>
    <t>HARGA</t>
  </si>
  <si>
    <t>03-09 S.D. 03-09-2025</t>
  </si>
  <si>
    <t>ANTIJI 1 LTR</t>
  </si>
  <si>
    <t>BTL</t>
  </si>
  <si>
    <t>ANTIJI 500 MIL</t>
  </si>
  <si>
    <t>NOVLECT 500 MIL</t>
  </si>
  <si>
    <t>AMSINAT 1 LTR</t>
  </si>
  <si>
    <t>FENITE 200 MIL</t>
  </si>
  <si>
    <t>RATCEL 1 KG</t>
  </si>
  <si>
    <t>KOVIN PLUS 1 KG</t>
  </si>
  <si>
    <t>BKS</t>
  </si>
  <si>
    <t>BESTNOID 100 GRAM</t>
  </si>
  <si>
    <t>REGENT MERAH 50 MIL</t>
  </si>
  <si>
    <t>SUPRETOX 1 LTR</t>
  </si>
  <si>
    <t>CENTOP 1 LTR</t>
  </si>
  <si>
    <t>SUPREMO 1 LTR</t>
  </si>
  <si>
    <t>FENOMIN 400 MIL</t>
  </si>
  <si>
    <t>DELTAXON 1 LTR</t>
  </si>
  <si>
    <t>DANKE 250 GRAM</t>
  </si>
  <si>
    <t>SEPATULORENG (40)</t>
  </si>
  <si>
    <t>SEPATULORENG (41)</t>
  </si>
  <si>
    <t>WARING LEO/JANGKAR</t>
  </si>
  <si>
    <t>ROL</t>
  </si>
  <si>
    <t>LOYANT 500 MIL</t>
  </si>
  <si>
    <t>Sisa pestisida sebelumnya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</si>
</sst>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6">
    <numFmt numFmtId="41" formatCode="_(* #,##0_);_(* \(#,##0\);_(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(&quot;Rp&quot;* #,##0_);_(&quot;Rp&quot;* \(#,##0\);_(&quot;Rp&quot;* &quot;-&quot;_);_(@_)"/>
    <numFmt numFmtId="177" formatCode="_ * #,##0_ ;_ * \-#,##0_ ;_ * &quot;-&quot;_ ;_ @_ "/>
    <numFmt numFmtId="178" formatCode="_ * #,##0.00_ ;_ * \-#,##0.00_ ;_ * &quot;-&quot;??_ ;_ @_ "/>
    <numFmt numFmtId="179" formatCode="_-* #,##0_-;\-* #,##0_-;_-* &quot;-&quot;??_-;_-@_-"/>
    <numFmt numFmtId="180" formatCode="_-* #,##0.00_-;\-* #,##0.00_-;_-* &quot;-&quot;??_-;_-@_-"/>
    <numFmt numFmtId="181" formatCode="_(* #,##0_);_(* \(#,##0\);_(* &quot;-&quot;??_);_(@_)"/>
    <numFmt numFmtId="182" formatCode="m/d/yyyy;@"/>
    <numFmt numFmtId="183" formatCode="_ * #,##0_ ;_ * \-#,##0_ ;_ * &quot;-&quot;??_ ;_ @_ "/>
    <numFmt numFmtId="184" formatCode="[$-409]dd\-mmm\-yy;@"/>
    <numFmt numFmtId="185" formatCode="0_ "/>
    <numFmt numFmtId="186" formatCode="_([$Rp-421]* #,##0_);_([$Rp-421]* \(#,##0\);_([$Rp-421]* &quot;-&quot;??_);_(@_)"/>
    <numFmt numFmtId="187" formatCode="_-[$Rp-421]* #,##0_-;\-[$Rp-421]* #,##0_-;_-[$Rp-421]* &quot;-&quot;??_-;_-@_-"/>
    <numFmt numFmtId="188" formatCode="_-[$Rp-3809]* #,##0_-;\-[$Rp-3809]* #,##0_-;_-[$Rp-3809]* &quot;-&quot;??_-;_-@_-"/>
  </numFmts>
  <fonts count="88">
    <font>
      <sz val="11"/>
      <color theme="1"/>
      <name val="Calibri"/>
      <charset val="1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2"/>
      <color rgb="FFFF0000"/>
      <name val="Calibri"/>
      <charset val="134"/>
      <scheme val="minor"/>
    </font>
    <font>
      <sz val="12"/>
      <color rgb="FFFF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i/>
      <sz val="11"/>
      <color theme="1"/>
      <name val="Calibri"/>
      <charset val="134"/>
      <scheme val="minor"/>
    </font>
    <font>
      <b/>
      <u/>
      <sz val="11"/>
      <color theme="1"/>
      <name val="Calibri"/>
      <charset val="134"/>
      <scheme val="minor"/>
    </font>
    <font>
      <sz val="10"/>
      <name val="Calibri Light"/>
      <charset val="134"/>
      <scheme val="major"/>
    </font>
    <font>
      <sz val="12"/>
      <name val="Calibri Light"/>
      <charset val="134"/>
      <scheme val="major"/>
    </font>
    <font>
      <sz val="14"/>
      <name val="Calibri Light"/>
      <charset val="134"/>
      <scheme val="major"/>
    </font>
    <font>
      <b/>
      <sz val="16"/>
      <name val="Calibri Light"/>
      <charset val="134"/>
      <scheme val="major"/>
    </font>
    <font>
      <b/>
      <sz val="14"/>
      <name val="Calibri Light"/>
      <charset val="134"/>
      <scheme val="major"/>
    </font>
    <font>
      <sz val="16"/>
      <name val="Calibri Light"/>
      <charset val="134"/>
      <scheme val="major"/>
    </font>
    <font>
      <b/>
      <sz val="12"/>
      <name val="Calibri Light"/>
      <charset val="134"/>
      <scheme val="major"/>
    </font>
    <font>
      <i/>
      <sz val="12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4"/>
      <color theme="1"/>
      <name val="Calibri Light"/>
      <charset val="134"/>
      <scheme val="major"/>
    </font>
    <font>
      <i/>
      <sz val="12"/>
      <color theme="1"/>
      <name val="Calibri Light"/>
      <charset val="134"/>
      <scheme val="major"/>
    </font>
    <font>
      <b/>
      <sz val="12"/>
      <color theme="1"/>
      <name val="Calibri Light"/>
      <charset val="134"/>
      <scheme val="major"/>
    </font>
    <font>
      <b/>
      <sz val="12"/>
      <color rgb="FFFF0000"/>
      <name val="Calibri Light"/>
      <charset val="134"/>
      <scheme val="major"/>
    </font>
    <font>
      <b/>
      <sz val="12"/>
      <color rgb="FF00B050"/>
      <name val="Calibri Light"/>
      <charset val="134"/>
      <scheme val="major"/>
    </font>
    <font>
      <sz val="12"/>
      <color rgb="FF00B050"/>
      <name val="Calibri Light"/>
      <charset val="134"/>
      <scheme val="major"/>
    </font>
    <font>
      <b/>
      <sz val="10"/>
      <color rgb="FFFF0000"/>
      <name val="Calibri Light"/>
      <charset val="134"/>
      <scheme val="major"/>
    </font>
    <font>
      <b/>
      <sz val="16"/>
      <color rgb="FFFF0000"/>
      <name val="Calibri Light"/>
      <charset val="134"/>
      <scheme val="major"/>
    </font>
    <font>
      <sz val="12"/>
      <color theme="9"/>
      <name val="Calibri Light"/>
      <charset val="134"/>
      <scheme val="major"/>
    </font>
    <font>
      <sz val="12"/>
      <color theme="8"/>
      <name val="Calibri Light"/>
      <charset val="134"/>
      <scheme val="major"/>
    </font>
    <font>
      <b/>
      <sz val="14"/>
      <color rgb="FFFF0000"/>
      <name val="Calibri Light"/>
      <charset val="134"/>
      <scheme val="major"/>
    </font>
    <font>
      <b/>
      <sz val="16"/>
      <color theme="1"/>
      <name val="Calibri"/>
      <charset val="134"/>
      <scheme val="minor"/>
    </font>
    <font>
      <sz val="11"/>
      <name val="Calibri Light"/>
      <charset val="134"/>
      <scheme val="major"/>
    </font>
    <font>
      <sz val="10"/>
      <color theme="1"/>
      <name val="Calibri Light"/>
      <charset val="134"/>
      <scheme val="major"/>
    </font>
    <font>
      <b/>
      <u val="singleAccounting"/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9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rgb="FFFF0000"/>
      <name val="Calibri"/>
      <charset val="134"/>
      <scheme val="minor"/>
    </font>
    <font>
      <sz val="10"/>
      <name val="Calibri"/>
      <charset val="134"/>
      <scheme val="minor"/>
    </font>
    <font>
      <b/>
      <i/>
      <sz val="10"/>
      <color theme="1"/>
      <name val="Calibri"/>
      <charset val="134"/>
      <scheme val="minor"/>
    </font>
    <font>
      <b/>
      <sz val="10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theme="9"/>
      <name val="Calibri"/>
      <charset val="1"/>
      <scheme val="minor"/>
    </font>
    <font>
      <b/>
      <sz val="11"/>
      <color rgb="FFFF0000"/>
      <name val="Calibri"/>
      <charset val="134"/>
      <scheme val="minor"/>
    </font>
    <font>
      <sz val="11"/>
      <color rgb="FFFF0000"/>
      <name val="Calibri"/>
      <charset val="1"/>
      <scheme val="minor"/>
    </font>
    <font>
      <b/>
      <sz val="11"/>
      <color rgb="FFFF0000"/>
      <name val="Calibri"/>
      <charset val="1"/>
      <scheme val="minor"/>
    </font>
    <font>
      <sz val="11"/>
      <color theme="1"/>
      <name val="Arial Narrow"/>
      <charset val="134"/>
    </font>
    <font>
      <b/>
      <sz val="11"/>
      <color theme="1"/>
      <name val="Calibri"/>
      <charset val="1"/>
      <scheme val="minor"/>
    </font>
    <font>
      <u/>
      <sz val="11"/>
      <color theme="1"/>
      <name val="Calibri"/>
      <charset val="134"/>
      <scheme val="minor"/>
    </font>
    <font>
      <sz val="12"/>
      <color theme="1"/>
      <name val="Calibri"/>
      <charset val="1"/>
      <scheme val="minor"/>
    </font>
    <font>
      <b/>
      <u/>
      <sz val="10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i/>
      <sz val="11"/>
      <color rgb="FFFF0000"/>
      <name val="Calibri"/>
      <charset val="134"/>
      <scheme val="minor"/>
    </font>
    <font>
      <sz val="10"/>
      <color theme="1"/>
      <name val="Calibri"/>
      <charset val="134"/>
    </font>
    <font>
      <b/>
      <sz val="10"/>
      <color theme="1"/>
      <name val="Calibri"/>
      <charset val="134"/>
    </font>
    <font>
      <sz val="10"/>
      <color rgb="FFFF0000"/>
      <name val="Calibri"/>
      <charset val="134"/>
    </font>
    <font>
      <sz val="10"/>
      <name val="Calibri"/>
      <charset val="134"/>
    </font>
    <font>
      <b/>
      <i/>
      <sz val="10"/>
      <color theme="1"/>
      <name val="Calibri"/>
      <charset val="134"/>
    </font>
    <font>
      <b/>
      <sz val="10"/>
      <name val="Calibri"/>
      <charset val="134"/>
    </font>
    <font>
      <b/>
      <i/>
      <sz val="10"/>
      <name val="Calibri"/>
      <charset val="134"/>
    </font>
    <font>
      <i/>
      <sz val="10"/>
      <name val="Calibri"/>
      <charset val="134"/>
    </font>
    <font>
      <i/>
      <sz val="10"/>
      <color theme="1"/>
      <name val="Calibri"/>
      <charset val="134"/>
    </font>
    <font>
      <b/>
      <u/>
      <sz val="1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0"/>
      <color rgb="FF000000"/>
      <name val="Times New Roman"/>
      <charset val="134"/>
    </font>
    <font>
      <sz val="10"/>
      <color indexed="8"/>
      <name val="Arial"/>
      <charset val="134"/>
    </font>
    <font>
      <sz val="11"/>
      <color theme="1"/>
      <name val="Arial"/>
      <charset val="134"/>
    </font>
  </fonts>
  <fills count="5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4" fillId="24" borderId="60" applyNumberFormat="0" applyFont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61" applyNumberFormat="0" applyFill="0" applyAlignment="0" applyProtection="0">
      <alignment vertical="center"/>
    </xf>
    <xf numFmtId="0" fontId="71" fillId="0" borderId="61" applyNumberFormat="0" applyFill="0" applyAlignment="0" applyProtection="0">
      <alignment vertical="center"/>
    </xf>
    <xf numFmtId="0" fontId="72" fillId="0" borderId="62" applyNumberFormat="0" applyFill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25" borderId="63" applyNumberFormat="0" applyAlignment="0" applyProtection="0">
      <alignment vertical="center"/>
    </xf>
    <xf numFmtId="0" fontId="74" fillId="26" borderId="64" applyNumberFormat="0" applyAlignment="0" applyProtection="0">
      <alignment vertical="center"/>
    </xf>
    <xf numFmtId="0" fontId="75" fillId="26" borderId="63" applyNumberFormat="0" applyAlignment="0" applyProtection="0">
      <alignment vertical="center"/>
    </xf>
    <xf numFmtId="0" fontId="76" fillId="27" borderId="65" applyNumberFormat="0" applyAlignment="0" applyProtection="0">
      <alignment vertical="center"/>
    </xf>
    <xf numFmtId="0" fontId="77" fillId="0" borderId="66" applyNumberFormat="0" applyFill="0" applyAlignment="0" applyProtection="0">
      <alignment vertical="center"/>
    </xf>
    <xf numFmtId="0" fontId="78" fillId="0" borderId="67" applyNumberFormat="0" applyFill="0" applyAlignment="0" applyProtection="0">
      <alignment vertical="center"/>
    </xf>
    <xf numFmtId="0" fontId="79" fillId="28" borderId="0" applyNumberFormat="0" applyBorder="0" applyAlignment="0" applyProtection="0">
      <alignment vertical="center"/>
    </xf>
    <xf numFmtId="0" fontId="80" fillId="29" borderId="0" applyNumberFormat="0" applyBorder="0" applyAlignment="0" applyProtection="0">
      <alignment vertical="center"/>
    </xf>
    <xf numFmtId="0" fontId="81" fillId="30" borderId="0" applyNumberFormat="0" applyBorder="0" applyAlignment="0" applyProtection="0">
      <alignment vertical="center"/>
    </xf>
    <xf numFmtId="0" fontId="82" fillId="31" borderId="0" applyNumberFormat="0" applyBorder="0" applyAlignment="0" applyProtection="0">
      <alignment vertical="center"/>
    </xf>
    <xf numFmtId="0" fontId="83" fillId="32" borderId="0" applyNumberFormat="0" applyBorder="0" applyAlignment="0" applyProtection="0">
      <alignment vertical="center"/>
    </xf>
    <xf numFmtId="0" fontId="83" fillId="10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82" fillId="34" borderId="0" applyNumberFormat="0" applyBorder="0" applyAlignment="0" applyProtection="0">
      <alignment vertical="center"/>
    </xf>
    <xf numFmtId="0" fontId="83" fillId="11" borderId="0" applyNumberFormat="0" applyBorder="0" applyAlignment="0" applyProtection="0">
      <alignment vertical="center"/>
    </xf>
    <xf numFmtId="0" fontId="83" fillId="35" borderId="0" applyNumberFormat="0" applyBorder="0" applyAlignment="0" applyProtection="0">
      <alignment vertical="center"/>
    </xf>
    <xf numFmtId="0" fontId="82" fillId="36" borderId="0" applyNumberFormat="0" applyBorder="0" applyAlignment="0" applyProtection="0">
      <alignment vertical="center"/>
    </xf>
    <xf numFmtId="0" fontId="82" fillId="37" borderId="0" applyNumberFormat="0" applyBorder="0" applyAlignment="0" applyProtection="0">
      <alignment vertical="center"/>
    </xf>
    <xf numFmtId="0" fontId="83" fillId="38" borderId="0" applyNumberFormat="0" applyBorder="0" applyAlignment="0" applyProtection="0">
      <alignment vertical="center"/>
    </xf>
    <xf numFmtId="0" fontId="83" fillId="39" borderId="0" applyNumberFormat="0" applyBorder="0" applyAlignment="0" applyProtection="0">
      <alignment vertical="center"/>
    </xf>
    <xf numFmtId="0" fontId="82" fillId="40" borderId="0" applyNumberFormat="0" applyBorder="0" applyAlignment="0" applyProtection="0">
      <alignment vertical="center"/>
    </xf>
    <xf numFmtId="0" fontId="82" fillId="41" borderId="0" applyNumberFormat="0" applyBorder="0" applyAlignment="0" applyProtection="0">
      <alignment vertical="center"/>
    </xf>
    <xf numFmtId="0" fontId="83" fillId="42" borderId="0" applyNumberFormat="0" applyBorder="0" applyAlignment="0" applyProtection="0">
      <alignment vertical="center"/>
    </xf>
    <xf numFmtId="0" fontId="83" fillId="17" borderId="0" applyNumberFormat="0" applyBorder="0" applyAlignment="0" applyProtection="0">
      <alignment vertical="center"/>
    </xf>
    <xf numFmtId="0" fontId="82" fillId="43" borderId="0" applyNumberFormat="0" applyBorder="0" applyAlignment="0" applyProtection="0">
      <alignment vertical="center"/>
    </xf>
    <xf numFmtId="0" fontId="82" fillId="44" borderId="0" applyNumberFormat="0" applyBorder="0" applyAlignment="0" applyProtection="0">
      <alignment vertical="center"/>
    </xf>
    <xf numFmtId="0" fontId="83" fillId="45" borderId="0" applyNumberFormat="0" applyBorder="0" applyAlignment="0" applyProtection="0">
      <alignment vertical="center"/>
    </xf>
    <xf numFmtId="0" fontId="83" fillId="46" borderId="0" applyNumberFormat="0" applyBorder="0" applyAlignment="0" applyProtection="0">
      <alignment vertical="center"/>
    </xf>
    <xf numFmtId="0" fontId="82" fillId="47" borderId="0" applyNumberFormat="0" applyBorder="0" applyAlignment="0" applyProtection="0">
      <alignment vertical="center"/>
    </xf>
    <xf numFmtId="0" fontId="82" fillId="6" borderId="0" applyNumberFormat="0" applyBorder="0" applyAlignment="0" applyProtection="0">
      <alignment vertical="center"/>
    </xf>
    <xf numFmtId="0" fontId="83" fillId="48" borderId="0" applyNumberFormat="0" applyBorder="0" applyAlignment="0" applyProtection="0">
      <alignment vertical="center"/>
    </xf>
    <xf numFmtId="0" fontId="83" fillId="49" borderId="0" applyNumberFormat="0" applyBorder="0" applyAlignment="0" applyProtection="0">
      <alignment vertical="center"/>
    </xf>
    <xf numFmtId="0" fontId="82" fillId="15" borderId="0" applyNumberFormat="0" applyBorder="0" applyAlignment="0" applyProtection="0">
      <alignment vertical="center"/>
    </xf>
    <xf numFmtId="41" fontId="8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85" fillId="0" borderId="0" applyFont="0" applyFill="0" applyBorder="0" applyAlignment="0" applyProtection="0"/>
    <xf numFmtId="177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178" fontId="4" fillId="0" borderId="0" applyFont="0" applyFill="0" applyBorder="0" applyAlignment="0" applyProtection="0">
      <alignment vertical="center"/>
    </xf>
    <xf numFmtId="43" fontId="86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178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4" fillId="0" borderId="0"/>
    <xf numFmtId="0" fontId="4" fillId="0" borderId="0"/>
    <xf numFmtId="0" fontId="84" fillId="0" borderId="0"/>
    <xf numFmtId="0" fontId="85" fillId="0" borderId="0"/>
    <xf numFmtId="0" fontId="4" fillId="0" borderId="0"/>
    <xf numFmtId="0" fontId="4" fillId="0" borderId="0"/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85" fillId="0" borderId="0" applyFont="0" applyFill="0" applyBorder="0" applyAlignment="0" applyProtection="0"/>
  </cellStyleXfs>
  <cellXfs count="102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79" fontId="2" fillId="0" borderId="9" xfId="1" applyNumberFormat="1" applyFont="1" applyBorder="1" applyAlignment="1">
      <alignment vertical="center"/>
    </xf>
    <xf numFmtId="179" fontId="2" fillId="0" borderId="9" xfId="0" applyNumberFormat="1" applyFont="1" applyFill="1" applyBorder="1" applyAlignment="1">
      <alignment horizontal="center" vertical="center"/>
    </xf>
    <xf numFmtId="179" fontId="2" fillId="0" borderId="9" xfId="1" applyNumberFormat="1" applyFont="1" applyBorder="1" applyAlignment="1">
      <alignment horizontal="center" vertical="center"/>
    </xf>
    <xf numFmtId="179" fontId="6" fillId="0" borderId="9" xfId="1" applyNumberFormat="1" applyFont="1" applyBorder="1" applyAlignment="1">
      <alignment horizontal="center" vertical="center"/>
    </xf>
    <xf numFmtId="179" fontId="6" fillId="0" borderId="9" xfId="1" applyNumberFormat="1" applyFont="1" applyBorder="1" applyAlignment="1">
      <alignment vertical="center"/>
    </xf>
    <xf numFmtId="179" fontId="5" fillId="0" borderId="9" xfId="1" applyNumberFormat="1" applyFont="1" applyBorder="1" applyAlignment="1">
      <alignment vertical="center"/>
    </xf>
    <xf numFmtId="2" fontId="2" fillId="0" borderId="0" xfId="0" applyNumberFormat="1" applyFont="1" applyFill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9" fontId="3" fillId="0" borderId="9" xfId="1" applyNumberFormat="1" applyFont="1" applyBorder="1" applyAlignment="1">
      <alignment vertical="center"/>
    </xf>
    <xf numFmtId="179" fontId="3" fillId="0" borderId="9" xfId="1" applyNumberFormat="1" applyFont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179" fontId="3" fillId="0" borderId="9" xfId="1" applyNumberFormat="1" applyFont="1" applyFill="1" applyBorder="1" applyAlignment="1">
      <alignment vertical="center"/>
    </xf>
    <xf numFmtId="179" fontId="3" fillId="0" borderId="9" xfId="1" applyNumberFormat="1" applyFont="1" applyFill="1" applyBorder="1" applyAlignment="1">
      <alignment horizontal="center" vertical="center"/>
    </xf>
    <xf numFmtId="179" fontId="6" fillId="0" borderId="9" xfId="1" applyNumberFormat="1" applyFont="1" applyFill="1" applyBorder="1" applyAlignment="1">
      <alignment horizontal="center" vertical="center"/>
    </xf>
    <xf numFmtId="179" fontId="6" fillId="0" borderId="9" xfId="1" applyNumberFormat="1" applyFont="1" applyFill="1" applyBorder="1" applyAlignment="1">
      <alignment vertical="center"/>
    </xf>
    <xf numFmtId="179" fontId="5" fillId="0" borderId="9" xfId="1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9" fontId="3" fillId="0" borderId="1" xfId="1" applyNumberFormat="1" applyFont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179" fontId="6" fillId="0" borderId="1" xfId="1" applyNumberFormat="1" applyFont="1" applyBorder="1" applyAlignment="1">
      <alignment horizontal="center" vertical="center"/>
    </xf>
    <xf numFmtId="179" fontId="6" fillId="0" borderId="1" xfId="1" applyNumberFormat="1" applyFont="1" applyBorder="1" applyAlignment="1">
      <alignment vertical="center"/>
    </xf>
    <xf numFmtId="179" fontId="5" fillId="0" borderId="1" xfId="1" applyNumberFormat="1" applyFont="1" applyBorder="1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179" fontId="5" fillId="0" borderId="10" xfId="0" applyNumberFormat="1" applyFont="1" applyFill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/>
    </xf>
    <xf numFmtId="179" fontId="5" fillId="0" borderId="10" xfId="1" applyNumberFormat="1" applyFont="1" applyBorder="1" applyAlignment="1">
      <alignment horizontal="center" vertical="center"/>
    </xf>
    <xf numFmtId="180" fontId="6" fillId="0" borderId="6" xfId="1" applyNumberFormat="1" applyFont="1" applyFill="1" applyBorder="1" applyAlignment="1">
      <alignment vertical="center"/>
    </xf>
    <xf numFmtId="181" fontId="4" fillId="0" borderId="0" xfId="1" applyNumberFormat="1" applyFont="1" applyFill="1" applyAlignment="1"/>
    <xf numFmtId="179" fontId="4" fillId="0" borderId="0" xfId="1" applyNumberFormat="1" applyFont="1"/>
    <xf numFmtId="179" fontId="4" fillId="0" borderId="0" xfId="1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181" fontId="0" fillId="0" borderId="9" xfId="1" applyNumberFormat="1" applyFont="1" applyBorder="1"/>
    <xf numFmtId="0" fontId="0" fillId="0" borderId="9" xfId="0" applyBorder="1"/>
    <xf numFmtId="0" fontId="0" fillId="6" borderId="9" xfId="0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left" vertical="center"/>
    </xf>
    <xf numFmtId="0" fontId="4" fillId="7" borderId="9" xfId="0" applyFont="1" applyFill="1" applyBorder="1" applyAlignment="1">
      <alignment horizontal="center" vertical="center" wrapText="1"/>
    </xf>
    <xf numFmtId="181" fontId="4" fillId="7" borderId="9" xfId="1" applyNumberFormat="1" applyFont="1" applyFill="1" applyBorder="1" applyAlignment="1">
      <alignment horizontal="center" vertical="center" wrapText="1"/>
    </xf>
    <xf numFmtId="181" fontId="4" fillId="7" borderId="9" xfId="0" applyNumberFormat="1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left" vertical="center"/>
    </xf>
    <xf numFmtId="0" fontId="4" fillId="8" borderId="9" xfId="0" applyFont="1" applyFill="1" applyBorder="1" applyAlignment="1">
      <alignment horizontal="center" vertical="center" wrapText="1"/>
    </xf>
    <xf numFmtId="181" fontId="4" fillId="8" borderId="9" xfId="1" applyNumberFormat="1" applyFont="1" applyFill="1" applyBorder="1" applyAlignment="1">
      <alignment horizontal="center" vertical="center" wrapText="1"/>
    </xf>
    <xf numFmtId="181" fontId="4" fillId="8" borderId="9" xfId="0" applyNumberFormat="1" applyFont="1" applyFill="1" applyBorder="1" applyAlignment="1">
      <alignment horizontal="center" vertical="center"/>
    </xf>
    <xf numFmtId="181" fontId="4" fillId="0" borderId="0" xfId="1" applyNumberFormat="1" applyFont="1" applyFill="1" applyAlignment="1">
      <alignment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7" borderId="9" xfId="0" applyFont="1" applyFill="1" applyBorder="1" applyAlignment="1"/>
    <xf numFmtId="0" fontId="4" fillId="0" borderId="9" xfId="0" applyFont="1" applyFill="1" applyBorder="1" applyAlignment="1"/>
    <xf numFmtId="0" fontId="4" fillId="0" borderId="9" xfId="0" applyFont="1" applyFill="1" applyBorder="1" applyAlignment="1">
      <alignment horizontal="center"/>
    </xf>
    <xf numFmtId="181" fontId="4" fillId="0" borderId="9" xfId="1" applyNumberFormat="1" applyFont="1" applyBorder="1" applyAlignment="1"/>
    <xf numFmtId="0" fontId="4" fillId="7" borderId="9" xfId="0" applyFont="1" applyFill="1" applyBorder="1" applyAlignment="1">
      <alignment vertical="center"/>
    </xf>
    <xf numFmtId="1" fontId="4" fillId="0" borderId="9" xfId="4" applyNumberFormat="1" applyFont="1" applyBorder="1" applyAlignment="1">
      <alignment horizontal="center" vertical="center"/>
    </xf>
    <xf numFmtId="41" fontId="4" fillId="0" borderId="9" xfId="4" applyNumberFormat="1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81" fontId="4" fillId="7" borderId="9" xfId="0" applyNumberFormat="1" applyFont="1" applyFill="1" applyBorder="1" applyAlignment="1">
      <alignment horizontal="center" vertical="top"/>
    </xf>
    <xf numFmtId="181" fontId="4" fillId="0" borderId="0" xfId="0" applyNumberFormat="1" applyFont="1" applyFill="1" applyAlignment="1">
      <alignment vertical="center"/>
    </xf>
    <xf numFmtId="41" fontId="7" fillId="0" borderId="0" xfId="4" applyFont="1" applyAlignment="1">
      <alignment horizontal="center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8" fillId="0" borderId="0" xfId="6" applyAlignment="1"/>
    <xf numFmtId="0" fontId="7" fillId="10" borderId="9" xfId="0" applyFont="1" applyFill="1" applyBorder="1" applyAlignment="1">
      <alignment horizontal="center" vertical="center"/>
    </xf>
    <xf numFmtId="0" fontId="7" fillId="10" borderId="9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left" vertical="center" wrapText="1"/>
    </xf>
    <xf numFmtId="181" fontId="4" fillId="0" borderId="9" xfId="1" applyNumberFormat="1" applyBorder="1" applyAlignment="1">
      <alignment horizontal="center" vertical="center"/>
    </xf>
    <xf numFmtId="181" fontId="4" fillId="0" borderId="9" xfId="0" applyNumberFormat="1" applyFont="1" applyFill="1" applyBorder="1" applyAlignment="1">
      <alignment horizontal="center" vertical="center"/>
    </xf>
    <xf numFmtId="181" fontId="4" fillId="0" borderId="9" xfId="1" applyNumberFormat="1" applyBorder="1"/>
    <xf numFmtId="181" fontId="4" fillId="0" borderId="0" xfId="0" applyNumberFormat="1" applyFont="1" applyFill="1" applyAlignment="1"/>
    <xf numFmtId="41" fontId="4" fillId="0" borderId="9" xfId="4" applyFont="1" applyBorder="1" applyAlignment="1">
      <alignment horizontal="center" vertical="center"/>
    </xf>
    <xf numFmtId="0" fontId="9" fillId="11" borderId="9" xfId="0" applyFont="1" applyFill="1" applyBorder="1" applyAlignment="1">
      <alignment horizontal="center" vertical="center"/>
    </xf>
    <xf numFmtId="1" fontId="9" fillId="11" borderId="9" xfId="0" applyNumberFormat="1" applyFont="1" applyFill="1" applyBorder="1" applyAlignment="1">
      <alignment horizontal="center" vertical="center"/>
    </xf>
    <xf numFmtId="41" fontId="9" fillId="7" borderId="9" xfId="4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41" fontId="4" fillId="0" borderId="0" xfId="4" applyFont="1"/>
    <xf numFmtId="0" fontId="10" fillId="0" borderId="0" xfId="0" applyFont="1" applyFill="1" applyAlignment="1">
      <alignment horizontal="center"/>
    </xf>
    <xf numFmtId="0" fontId="10" fillId="0" borderId="0" xfId="0" applyFont="1" applyFill="1" applyAlignment="1"/>
    <xf numFmtId="41" fontId="4" fillId="0" borderId="0" xfId="0" applyNumberFormat="1" applyFont="1" applyFill="1" applyAlignment="1"/>
    <xf numFmtId="0" fontId="7" fillId="7" borderId="9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 wrapText="1"/>
    </xf>
    <xf numFmtId="181" fontId="7" fillId="7" borderId="9" xfId="1" applyNumberFormat="1" applyFont="1" applyFill="1" applyBorder="1" applyAlignment="1">
      <alignment horizontal="center" vertical="center"/>
    </xf>
    <xf numFmtId="41" fontId="4" fillId="9" borderId="0" xfId="0" applyNumberFormat="1" applyFont="1" applyFill="1" applyAlignment="1"/>
    <xf numFmtId="181" fontId="4" fillId="0" borderId="0" xfId="1" applyNumberFormat="1"/>
    <xf numFmtId="41" fontId="4" fillId="12" borderId="0" xfId="0" applyNumberFormat="1" applyFont="1" applyFill="1" applyAlignment="1"/>
    <xf numFmtId="58" fontId="4" fillId="0" borderId="9" xfId="0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horizontal="left" vertical="center"/>
    </xf>
    <xf numFmtId="1" fontId="4" fillId="0" borderId="9" xfId="0" applyNumberFormat="1" applyFont="1" applyFill="1" applyBorder="1" applyAlignment="1">
      <alignment horizontal="center" vertical="center"/>
    </xf>
    <xf numFmtId="181" fontId="4" fillId="0" borderId="9" xfId="1" applyNumberFormat="1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right" vertical="center"/>
    </xf>
    <xf numFmtId="181" fontId="4" fillId="7" borderId="9" xfId="0" applyNumberFormat="1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 wrapText="1"/>
    </xf>
    <xf numFmtId="181" fontId="4" fillId="0" borderId="9" xfId="1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9" fillId="0" borderId="9" xfId="0" applyNumberFormat="1" applyFont="1" applyFill="1" applyBorder="1" applyAlignment="1">
      <alignment horizontal="center" vertical="center"/>
    </xf>
    <xf numFmtId="181" fontId="4" fillId="0" borderId="9" xfId="1" applyNumberFormat="1" applyFont="1" applyFill="1" applyBorder="1" applyAlignment="1"/>
    <xf numFmtId="181" fontId="4" fillId="0" borderId="0" xfId="1" applyNumberFormat="1" applyFill="1"/>
    <xf numFmtId="181" fontId="4" fillId="0" borderId="9" xfId="1" applyNumberFormat="1" applyFont="1" applyFill="1" applyBorder="1" applyAlignment="1">
      <alignment horizontal="left" vertical="center"/>
    </xf>
    <xf numFmtId="0" fontId="4" fillId="13" borderId="0" xfId="0" applyFont="1" applyFill="1" applyAlignment="1"/>
    <xf numFmtId="0" fontId="11" fillId="0" borderId="0" xfId="65" applyFont="1" applyAlignment="1">
      <alignment wrapText="1"/>
    </xf>
    <xf numFmtId="0" fontId="12" fillId="0" borderId="0" xfId="65" applyFont="1" applyFill="1"/>
    <xf numFmtId="0" fontId="11" fillId="0" borderId="0" xfId="65" applyFont="1"/>
    <xf numFmtId="0" fontId="13" fillId="0" borderId="0" xfId="65" applyFont="1" applyAlignment="1">
      <alignment horizontal="center"/>
    </xf>
    <xf numFmtId="0" fontId="14" fillId="0" borderId="0" xfId="65" applyFont="1" applyAlignment="1">
      <alignment horizontal="center"/>
    </xf>
    <xf numFmtId="0" fontId="15" fillId="0" borderId="0" xfId="65" applyFont="1" applyAlignment="1">
      <alignment horizontal="center"/>
    </xf>
    <xf numFmtId="41" fontId="14" fillId="0" borderId="0" xfId="65" applyNumberFormat="1" applyFont="1" applyAlignment="1">
      <alignment horizontal="center"/>
    </xf>
    <xf numFmtId="41" fontId="15" fillId="0" borderId="0" xfId="65" applyNumberFormat="1" applyFont="1" applyAlignment="1">
      <alignment horizontal="center"/>
    </xf>
    <xf numFmtId="0" fontId="16" fillId="0" borderId="0" xfId="65" applyFont="1" applyAlignment="1">
      <alignment horizontal="center"/>
    </xf>
    <xf numFmtId="0" fontId="15" fillId="0" borderId="0" xfId="65" applyFont="1"/>
    <xf numFmtId="0" fontId="13" fillId="0" borderId="0" xfId="65" applyFont="1"/>
    <xf numFmtId="17" fontId="15" fillId="0" borderId="0" xfId="65" applyNumberFormat="1" applyFont="1"/>
    <xf numFmtId="0" fontId="15" fillId="0" borderId="14" xfId="65" applyFont="1" applyBorder="1" applyAlignment="1">
      <alignment horizontal="center" vertical="center" wrapText="1"/>
    </xf>
    <xf numFmtId="0" fontId="15" fillId="0" borderId="15" xfId="65" applyFont="1" applyBorder="1" applyAlignment="1">
      <alignment horizontal="center" vertical="center" wrapText="1"/>
    </xf>
    <xf numFmtId="0" fontId="15" fillId="0" borderId="9" xfId="65" applyFont="1" applyBorder="1" applyAlignment="1">
      <alignment horizontal="center" vertical="center" wrapText="1"/>
    </xf>
    <xf numFmtId="0" fontId="15" fillId="0" borderId="2" xfId="65" applyFont="1" applyBorder="1" applyAlignment="1">
      <alignment horizontal="center" vertical="center" wrapText="1"/>
    </xf>
    <xf numFmtId="0" fontId="15" fillId="0" borderId="3" xfId="65" applyFont="1" applyBorder="1" applyAlignment="1">
      <alignment horizontal="center" vertical="center" wrapText="1"/>
    </xf>
    <xf numFmtId="0" fontId="15" fillId="0" borderId="1" xfId="65" applyFont="1" applyBorder="1" applyAlignment="1">
      <alignment horizontal="center" vertical="center" wrapText="1"/>
    </xf>
    <xf numFmtId="0" fontId="15" fillId="0" borderId="16" xfId="65" applyFont="1" applyBorder="1" applyAlignment="1">
      <alignment horizontal="center" vertical="center" wrapText="1"/>
    </xf>
    <xf numFmtId="0" fontId="15" fillId="0" borderId="7" xfId="65" applyFont="1" applyBorder="1" applyAlignment="1">
      <alignment horizontal="center" vertical="center" wrapText="1"/>
    </xf>
    <xf numFmtId="0" fontId="15" fillId="0" borderId="4" xfId="65" applyFont="1" applyBorder="1" applyAlignment="1">
      <alignment horizontal="center" vertical="center" wrapText="1"/>
    </xf>
    <xf numFmtId="0" fontId="15" fillId="7" borderId="9" xfId="65" applyFont="1" applyFill="1" applyBorder="1" applyAlignment="1">
      <alignment horizontal="center" vertical="center" wrapText="1"/>
    </xf>
    <xf numFmtId="0" fontId="13" fillId="0" borderId="7" xfId="65" applyFont="1" applyBorder="1" applyAlignment="1">
      <alignment horizontal="center" vertical="center" wrapText="1"/>
    </xf>
    <xf numFmtId="0" fontId="12" fillId="0" borderId="17" xfId="65" applyFont="1" applyBorder="1"/>
    <xf numFmtId="0" fontId="17" fillId="0" borderId="18" xfId="65" applyFont="1" applyBorder="1"/>
    <xf numFmtId="0" fontId="13" fillId="0" borderId="19" xfId="65" applyFont="1" applyBorder="1" applyAlignment="1">
      <alignment horizontal="center"/>
    </xf>
    <xf numFmtId="0" fontId="18" fillId="0" borderId="19" xfId="65" applyFont="1" applyBorder="1" applyAlignment="1">
      <alignment horizontal="center" vertical="center" wrapText="1"/>
    </xf>
    <xf numFmtId="0" fontId="12" fillId="0" borderId="19" xfId="65" applyFont="1" applyBorder="1"/>
    <xf numFmtId="0" fontId="12" fillId="0" borderId="20" xfId="65" applyFont="1" applyBorder="1"/>
    <xf numFmtId="0" fontId="12" fillId="0" borderId="21" xfId="65" applyFont="1" applyBorder="1"/>
    <xf numFmtId="0" fontId="12" fillId="0" borderId="9" xfId="65" applyFont="1" applyBorder="1"/>
    <xf numFmtId="0" fontId="12" fillId="0" borderId="2" xfId="65" applyFont="1" applyBorder="1"/>
    <xf numFmtId="0" fontId="11" fillId="0" borderId="9" xfId="65" applyFont="1" applyBorder="1"/>
    <xf numFmtId="0" fontId="19" fillId="0" borderId="16" xfId="65" applyFont="1" applyBorder="1" applyAlignment="1">
      <alignment horizontal="center"/>
    </xf>
    <xf numFmtId="0" fontId="19" fillId="0" borderId="8" xfId="65" applyFont="1" applyBorder="1"/>
    <xf numFmtId="58" fontId="20" fillId="0" borderId="7" xfId="65" applyNumberFormat="1" applyFont="1" applyBorder="1" applyAlignment="1">
      <alignment horizontal="center" vertical="center"/>
    </xf>
    <xf numFmtId="0" fontId="21" fillId="0" borderId="7" xfId="65" applyFont="1" applyBorder="1" applyAlignment="1">
      <alignment horizontal="center" vertical="center" wrapText="1"/>
    </xf>
    <xf numFmtId="0" fontId="19" fillId="0" borderId="7" xfId="65" applyFont="1" applyBorder="1" applyAlignment="1">
      <alignment horizontal="center"/>
    </xf>
    <xf numFmtId="41" fontId="19" fillId="0" borderId="7" xfId="49" applyFont="1" applyFill="1" applyBorder="1"/>
    <xf numFmtId="41" fontId="19" fillId="0" borderId="7" xfId="49" applyFont="1" applyFill="1" applyBorder="1" applyAlignment="1">
      <alignment horizontal="center" readingOrder="1"/>
    </xf>
    <xf numFmtId="41" fontId="19" fillId="14" borderId="7" xfId="56" applyNumberFormat="1" applyFont="1" applyFill="1" applyBorder="1" applyAlignment="1">
      <alignment wrapText="1"/>
    </xf>
    <xf numFmtId="41" fontId="19" fillId="0" borderId="20" xfId="49" applyFont="1" applyFill="1" applyBorder="1"/>
    <xf numFmtId="41" fontId="19" fillId="0" borderId="9" xfId="49" applyFont="1" applyFill="1" applyBorder="1"/>
    <xf numFmtId="41" fontId="19" fillId="0" borderId="2" xfId="49" applyFont="1" applyFill="1" applyBorder="1"/>
    <xf numFmtId="0" fontId="22" fillId="0" borderId="8" xfId="65" applyFont="1" applyBorder="1"/>
    <xf numFmtId="0" fontId="20" fillId="0" borderId="4" xfId="65" applyFont="1" applyBorder="1" applyAlignment="1">
      <alignment horizontal="left" vertical="center"/>
    </xf>
    <xf numFmtId="0" fontId="20" fillId="0" borderId="9" xfId="65" applyFont="1" applyBorder="1" applyAlignment="1">
      <alignment horizontal="left" vertical="center"/>
    </xf>
    <xf numFmtId="0" fontId="20" fillId="0" borderId="9" xfId="65" applyFont="1" applyBorder="1" applyAlignment="1">
      <alignment horizontal="center" vertical="center"/>
    </xf>
    <xf numFmtId="0" fontId="21" fillId="0" borderId="9" xfId="65" applyFont="1" applyBorder="1" applyAlignment="1">
      <alignment horizontal="center" vertical="center" wrapText="1"/>
    </xf>
    <xf numFmtId="0" fontId="19" fillId="0" borderId="9" xfId="65" applyFont="1" applyBorder="1" applyAlignment="1">
      <alignment horizontal="center"/>
    </xf>
    <xf numFmtId="41" fontId="11" fillId="0" borderId="9" xfId="65" applyNumberFormat="1" applyFont="1" applyBorder="1"/>
    <xf numFmtId="0" fontId="20" fillId="0" borderId="22" xfId="65" applyFont="1" applyBorder="1" applyAlignment="1">
      <alignment horizontal="left" vertical="center"/>
    </xf>
    <xf numFmtId="0" fontId="20" fillId="0" borderId="1" xfId="65" applyFont="1" applyBorder="1" applyAlignment="1">
      <alignment horizontal="left" vertical="center"/>
    </xf>
    <xf numFmtId="0" fontId="20" fillId="0" borderId="1" xfId="65" applyFont="1" applyBorder="1" applyAlignment="1">
      <alignment horizontal="center" vertical="center"/>
    </xf>
    <xf numFmtId="0" fontId="21" fillId="0" borderId="1" xfId="65" applyFont="1" applyBorder="1" applyAlignment="1">
      <alignment horizontal="center" vertical="center" wrapText="1"/>
    </xf>
    <xf numFmtId="0" fontId="19" fillId="0" borderId="1" xfId="65" applyFont="1" applyBorder="1" applyAlignment="1">
      <alignment horizontal="center"/>
    </xf>
    <xf numFmtId="41" fontId="19" fillId="0" borderId="1" xfId="49" applyFont="1" applyFill="1" applyBorder="1"/>
    <xf numFmtId="41" fontId="19" fillId="0" borderId="6" xfId="49" applyFont="1" applyFill="1" applyBorder="1"/>
    <xf numFmtId="41" fontId="19" fillId="0" borderId="6" xfId="49" applyFont="1" applyFill="1" applyBorder="1" applyAlignment="1">
      <alignment horizontal="center" readingOrder="1"/>
    </xf>
    <xf numFmtId="41" fontId="19" fillId="0" borderId="23" xfId="49" applyFont="1" applyFill="1" applyBorder="1"/>
    <xf numFmtId="41" fontId="23" fillId="0" borderId="9" xfId="49" applyFont="1" applyFill="1" applyBorder="1"/>
    <xf numFmtId="41" fontId="19" fillId="0" borderId="9" xfId="49" applyFont="1" applyFill="1" applyBorder="1" applyAlignment="1">
      <alignment horizontal="center" readingOrder="1"/>
    </xf>
    <xf numFmtId="41" fontId="19" fillId="14" borderId="9" xfId="56" applyNumberFormat="1" applyFont="1" applyFill="1" applyBorder="1" applyAlignment="1">
      <alignment wrapText="1"/>
    </xf>
    <xf numFmtId="0" fontId="22" fillId="0" borderId="9" xfId="65" applyFont="1" applyBorder="1"/>
    <xf numFmtId="58" fontId="20" fillId="0" borderId="9" xfId="65" applyNumberFormat="1" applyFont="1" applyBorder="1" applyAlignment="1">
      <alignment horizontal="center" vertical="center"/>
    </xf>
    <xf numFmtId="41" fontId="24" fillId="0" borderId="9" xfId="49" applyFont="1" applyFill="1" applyBorder="1"/>
    <xf numFmtId="0" fontId="19" fillId="0" borderId="24" xfId="65" applyFont="1" applyBorder="1" applyAlignment="1">
      <alignment horizontal="center"/>
    </xf>
    <xf numFmtId="0" fontId="12" fillId="0" borderId="1" xfId="65" applyFont="1" applyBorder="1"/>
    <xf numFmtId="182" fontId="13" fillId="0" borderId="1" xfId="65" applyNumberFormat="1" applyFont="1" applyBorder="1" applyAlignment="1">
      <alignment horizontal="center"/>
    </xf>
    <xf numFmtId="0" fontId="12" fillId="0" borderId="1" xfId="65" applyFont="1" applyBorder="1" applyAlignment="1">
      <alignment horizontal="center"/>
    </xf>
    <xf numFmtId="41" fontId="12" fillId="0" borderId="1" xfId="49" applyFont="1" applyFill="1" applyBorder="1"/>
    <xf numFmtId="41" fontId="12" fillId="0" borderId="1" xfId="49" applyFont="1" applyFill="1" applyBorder="1" applyAlignment="1">
      <alignment horizontal="center" vertical="center" readingOrder="1"/>
    </xf>
    <xf numFmtId="41" fontId="12" fillId="0" borderId="9" xfId="49" applyFont="1" applyFill="1" applyBorder="1"/>
    <xf numFmtId="41" fontId="12" fillId="0" borderId="9" xfId="65" applyNumberFormat="1" applyFont="1" applyBorder="1"/>
    <xf numFmtId="41" fontId="12" fillId="0" borderId="2" xfId="49" applyFont="1" applyFill="1" applyBorder="1"/>
    <xf numFmtId="182" fontId="13" fillId="0" borderId="9" xfId="65" applyNumberFormat="1" applyFont="1" applyBorder="1" applyAlignment="1">
      <alignment horizontal="center"/>
    </xf>
    <xf numFmtId="0" fontId="12" fillId="0" borderId="9" xfId="65" applyFont="1" applyBorder="1" applyAlignment="1">
      <alignment horizontal="center"/>
    </xf>
    <xf numFmtId="41" fontId="12" fillId="0" borderId="9" xfId="49" applyFont="1" applyFill="1" applyBorder="1" applyAlignment="1">
      <alignment horizontal="center" vertical="center" readingOrder="1"/>
    </xf>
    <xf numFmtId="41" fontId="23" fillId="0" borderId="7" xfId="49" applyFont="1" applyFill="1" applyBorder="1"/>
    <xf numFmtId="41" fontId="25" fillId="0" borderId="9" xfId="49" applyFont="1" applyFill="1" applyBorder="1"/>
    <xf numFmtId="0" fontId="19" fillId="0" borderId="24" xfId="65" applyFont="1" applyFill="1" applyBorder="1" applyAlignment="1">
      <alignment horizontal="center"/>
    </xf>
    <xf numFmtId="0" fontId="12" fillId="0" borderId="1" xfId="65" applyFont="1" applyFill="1" applyBorder="1"/>
    <xf numFmtId="58" fontId="13" fillId="0" borderId="1" xfId="65" applyNumberFormat="1" applyFont="1" applyFill="1" applyBorder="1" applyAlignment="1">
      <alignment horizontal="center"/>
    </xf>
    <xf numFmtId="0" fontId="21" fillId="0" borderId="9" xfId="65" applyFont="1" applyFill="1" applyBorder="1" applyAlignment="1">
      <alignment horizontal="center" vertical="center" wrapText="1"/>
    </xf>
    <xf numFmtId="0" fontId="12" fillId="0" borderId="1" xfId="65" applyFont="1" applyFill="1" applyBorder="1" applyAlignment="1">
      <alignment horizontal="center"/>
    </xf>
    <xf numFmtId="41" fontId="23" fillId="0" borderId="1" xfId="49" applyFont="1" applyFill="1" applyBorder="1"/>
    <xf numFmtId="41" fontId="19" fillId="0" borderId="7" xfId="56" applyNumberFormat="1" applyFont="1" applyFill="1" applyBorder="1" applyAlignment="1">
      <alignment wrapText="1"/>
    </xf>
    <xf numFmtId="41" fontId="12" fillId="0" borderId="9" xfId="65" applyNumberFormat="1" applyFont="1" applyFill="1" applyBorder="1"/>
    <xf numFmtId="41" fontId="11" fillId="0" borderId="9" xfId="65" applyNumberFormat="1" applyFont="1" applyFill="1" applyBorder="1"/>
    <xf numFmtId="0" fontId="11" fillId="0" borderId="9" xfId="65" applyFont="1" applyFill="1" applyBorder="1"/>
    <xf numFmtId="0" fontId="11" fillId="0" borderId="0" xfId="65" applyFont="1" applyFill="1"/>
    <xf numFmtId="0" fontId="19" fillId="0" borderId="4" xfId="65" applyFont="1" applyBorder="1"/>
    <xf numFmtId="58" fontId="20" fillId="0" borderId="9" xfId="65" applyNumberFormat="1" applyFont="1" applyBorder="1" applyAlignment="1">
      <alignment horizontal="center"/>
    </xf>
    <xf numFmtId="183" fontId="19" fillId="0" borderId="9" xfId="1" applyNumberFormat="1" applyFont="1" applyFill="1" applyBorder="1" applyAlignment="1"/>
    <xf numFmtId="183" fontId="19" fillId="14" borderId="9" xfId="1" applyNumberFormat="1" applyFont="1" applyFill="1" applyBorder="1" applyAlignment="1">
      <alignment wrapText="1"/>
    </xf>
    <xf numFmtId="0" fontId="19" fillId="0" borderId="4" xfId="65" applyFont="1" applyBorder="1" applyAlignment="1">
      <alignment horizontal="center"/>
    </xf>
    <xf numFmtId="41" fontId="23" fillId="0" borderId="9" xfId="49" applyFont="1" applyFill="1" applyBorder="1" applyAlignment="1"/>
    <xf numFmtId="41" fontId="12" fillId="0" borderId="9" xfId="49" applyFont="1" applyFill="1" applyBorder="1" applyAlignment="1"/>
    <xf numFmtId="41" fontId="12" fillId="0" borderId="9" xfId="49" applyFont="1" applyFill="1" applyBorder="1" applyAlignment="1" applyProtection="1"/>
    <xf numFmtId="41" fontId="12" fillId="0" borderId="2" xfId="49" applyFont="1" applyFill="1" applyBorder="1" applyAlignment="1">
      <alignment horizontal="center"/>
    </xf>
    <xf numFmtId="41" fontId="19" fillId="0" borderId="9" xfId="49" applyFont="1" applyFill="1" applyBorder="1" applyAlignment="1" applyProtection="1">
      <alignment horizontal="center" readingOrder="1"/>
    </xf>
    <xf numFmtId="41" fontId="19" fillId="0" borderId="2" xfId="49" applyFont="1" applyFill="1" applyBorder="1" applyAlignment="1">
      <alignment horizontal="center" readingOrder="1"/>
    </xf>
    <xf numFmtId="0" fontId="20" fillId="0" borderId="4" xfId="65" applyFont="1" applyBorder="1" applyAlignment="1">
      <alignment horizontal="center" vertical="center"/>
    </xf>
    <xf numFmtId="41" fontId="19" fillId="0" borderId="9" xfId="49" applyFont="1" applyFill="1" applyBorder="1" applyAlignment="1">
      <alignment horizontal="left"/>
    </xf>
    <xf numFmtId="41" fontId="26" fillId="0" borderId="9" xfId="65" applyNumberFormat="1" applyFont="1" applyBorder="1"/>
    <xf numFmtId="183" fontId="12" fillId="0" borderId="9" xfId="65" applyNumberFormat="1" applyFont="1" applyBorder="1"/>
    <xf numFmtId="183" fontId="11" fillId="0" borderId="9" xfId="65" applyNumberFormat="1" applyFont="1" applyBorder="1"/>
    <xf numFmtId="41" fontId="11" fillId="0" borderId="2" xfId="65" applyNumberFormat="1" applyFont="1" applyBorder="1"/>
    <xf numFmtId="41" fontId="27" fillId="0" borderId="9" xfId="65" applyNumberFormat="1" applyFont="1" applyBorder="1"/>
    <xf numFmtId="41" fontId="28" fillId="0" borderId="9" xfId="49" applyFont="1" applyFill="1" applyBorder="1"/>
    <xf numFmtId="184" fontId="13" fillId="0" borderId="1" xfId="65" applyNumberFormat="1" applyFont="1" applyBorder="1" applyAlignment="1">
      <alignment horizontal="center"/>
    </xf>
    <xf numFmtId="0" fontId="29" fillId="0" borderId="1" xfId="65" applyFont="1" applyBorder="1"/>
    <xf numFmtId="0" fontId="11" fillId="0" borderId="25" xfId="65" applyFont="1" applyBorder="1" applyAlignment="1"/>
    <xf numFmtId="0" fontId="11" fillId="0" borderId="5" xfId="65" applyFont="1" applyBorder="1" applyAlignment="1"/>
    <xf numFmtId="183" fontId="23" fillId="0" borderId="5" xfId="65" applyNumberFormat="1" applyFont="1" applyBorder="1" applyAlignment="1"/>
    <xf numFmtId="0" fontId="11" fillId="0" borderId="22" xfId="65" applyFont="1" applyBorder="1" applyAlignment="1"/>
    <xf numFmtId="0" fontId="11" fillId="0" borderId="5" xfId="65" applyFont="1" applyBorder="1" applyAlignment="1">
      <alignment horizontal="center"/>
    </xf>
    <xf numFmtId="0" fontId="11" fillId="0" borderId="2" xfId="65" applyFont="1" applyBorder="1" applyAlignment="1">
      <alignment horizontal="center"/>
    </xf>
    <xf numFmtId="0" fontId="11" fillId="0" borderId="3" xfId="65" applyFont="1" applyBorder="1" applyAlignment="1">
      <alignment horizontal="center"/>
    </xf>
    <xf numFmtId="183" fontId="12" fillId="0" borderId="2" xfId="1" applyNumberFormat="1" applyFont="1" applyFill="1" applyBorder="1" applyAlignment="1" applyProtection="1"/>
    <xf numFmtId="183" fontId="23" fillId="0" borderId="5" xfId="1" applyNumberFormat="1" applyFont="1" applyFill="1" applyBorder="1" applyAlignment="1" applyProtection="1"/>
    <xf numFmtId="0" fontId="11" fillId="0" borderId="20" xfId="65" applyFont="1" applyBorder="1" applyAlignment="1"/>
    <xf numFmtId="0" fontId="11" fillId="0" borderId="26" xfId="65" applyFont="1" applyBorder="1" applyAlignment="1"/>
    <xf numFmtId="0" fontId="11" fillId="0" borderId="8" xfId="65" applyFont="1" applyBorder="1" applyAlignment="1"/>
    <xf numFmtId="0" fontId="11" fillId="0" borderId="26" xfId="65" applyFont="1" applyBorder="1" applyAlignment="1">
      <alignment horizontal="center"/>
    </xf>
    <xf numFmtId="183" fontId="26" fillId="0" borderId="9" xfId="1" applyNumberFormat="1" applyFont="1" applyFill="1" applyBorder="1" applyAlignment="1" applyProtection="1"/>
    <xf numFmtId="41" fontId="19" fillId="0" borderId="1" xfId="49" applyFont="1" applyFill="1" applyBorder="1" applyAlignment="1">
      <alignment horizontal="left"/>
    </xf>
    <xf numFmtId="183" fontId="19" fillId="14" borderId="1" xfId="1" applyNumberFormat="1" applyFont="1" applyFill="1" applyBorder="1" applyAlignment="1">
      <alignment wrapText="1"/>
    </xf>
    <xf numFmtId="0" fontId="11" fillId="0" borderId="25" xfId="65" applyFont="1" applyBorder="1" applyAlignment="1">
      <alignment horizontal="center"/>
    </xf>
    <xf numFmtId="0" fontId="11" fillId="0" borderId="22" xfId="65" applyFont="1" applyBorder="1" applyAlignment="1">
      <alignment horizontal="center"/>
    </xf>
    <xf numFmtId="0" fontId="11" fillId="0" borderId="20" xfId="65" applyFont="1" applyBorder="1" applyAlignment="1">
      <alignment horizontal="center"/>
    </xf>
    <xf numFmtId="0" fontId="11" fillId="0" borderId="8" xfId="65" applyFont="1" applyBorder="1" applyAlignment="1">
      <alignment horizontal="center"/>
    </xf>
    <xf numFmtId="183" fontId="11" fillId="0" borderId="2" xfId="65" applyNumberFormat="1" applyFont="1" applyBorder="1"/>
    <xf numFmtId="183" fontId="12" fillId="0" borderId="26" xfId="1" applyNumberFormat="1" applyFont="1" applyFill="1" applyBorder="1" applyAlignment="1" applyProtection="1">
      <alignment horizontal="center"/>
    </xf>
    <xf numFmtId="41" fontId="17" fillId="0" borderId="9" xfId="49" applyFont="1" applyFill="1" applyBorder="1"/>
    <xf numFmtId="183" fontId="19" fillId="14" borderId="2" xfId="1" applyNumberFormat="1" applyFont="1" applyFill="1" applyBorder="1" applyAlignment="1">
      <alignment wrapText="1"/>
    </xf>
    <xf numFmtId="183" fontId="19" fillId="14" borderId="6" xfId="1" applyNumberFormat="1" applyFont="1" applyFill="1" applyBorder="1" applyAlignment="1">
      <alignment wrapText="1"/>
    </xf>
    <xf numFmtId="183" fontId="23" fillId="0" borderId="9" xfId="1" applyNumberFormat="1" applyFont="1" applyFill="1" applyBorder="1" applyAlignment="1" applyProtection="1"/>
    <xf numFmtId="0" fontId="11" fillId="0" borderId="2" xfId="65" applyFont="1" applyBorder="1"/>
    <xf numFmtId="0" fontId="13" fillId="0" borderId="9" xfId="65" applyFont="1" applyBorder="1" applyAlignment="1">
      <alignment horizontal="center"/>
    </xf>
    <xf numFmtId="41" fontId="23" fillId="0" borderId="9" xfId="65" applyNumberFormat="1" applyFont="1" applyBorder="1"/>
    <xf numFmtId="41" fontId="30" fillId="0" borderId="9" xfId="65" applyNumberFormat="1" applyFont="1" applyBorder="1"/>
    <xf numFmtId="41" fontId="26" fillId="0" borderId="2" xfId="65" applyNumberFormat="1" applyFont="1" applyBorder="1"/>
    <xf numFmtId="0" fontId="15" fillId="0" borderId="2" xfId="65" applyFont="1" applyBorder="1" applyAlignment="1">
      <alignment horizontal="left"/>
    </xf>
    <xf numFmtId="0" fontId="15" fillId="0" borderId="4" xfId="65" applyFont="1" applyBorder="1" applyAlignment="1">
      <alignment horizontal="left"/>
    </xf>
    <xf numFmtId="41" fontId="24" fillId="0" borderId="9" xfId="65" applyNumberFormat="1" applyFont="1" applyBorder="1"/>
    <xf numFmtId="0" fontId="17" fillId="0" borderId="2" xfId="65" applyFont="1" applyBorder="1"/>
    <xf numFmtId="0" fontId="15" fillId="0" borderId="0" xfId="65" applyFont="1" applyAlignment="1">
      <alignment horizontal="left"/>
    </xf>
    <xf numFmtId="41" fontId="11" fillId="0" borderId="0" xfId="65" applyNumberFormat="1" applyFont="1"/>
    <xf numFmtId="41" fontId="23" fillId="0" borderId="0" xfId="65" applyNumberFormat="1" applyFont="1"/>
    <xf numFmtId="41" fontId="23" fillId="0" borderId="0" xfId="65" applyNumberFormat="1" applyFont="1" applyBorder="1"/>
    <xf numFmtId="0" fontId="11" fillId="0" borderId="0" xfId="65" applyFont="1" applyBorder="1"/>
    <xf numFmtId="41" fontId="31" fillId="0" borderId="0" xfId="4" applyFont="1" applyAlignment="1">
      <alignment horizontal="center"/>
    </xf>
    <xf numFmtId="0" fontId="31" fillId="0" borderId="0" xfId="0" applyFont="1" applyFill="1" applyAlignment="1">
      <alignment horizontal="center"/>
    </xf>
    <xf numFmtId="0" fontId="15" fillId="0" borderId="27" xfId="65" applyFont="1" applyBorder="1" applyAlignment="1">
      <alignment horizontal="center" vertical="center" wrapText="1"/>
    </xf>
    <xf numFmtId="0" fontId="15" fillId="0" borderId="8" xfId="65" applyFont="1" applyBorder="1" applyAlignment="1">
      <alignment horizontal="center" vertical="center" wrapText="1"/>
    </xf>
    <xf numFmtId="0" fontId="17" fillId="0" borderId="0" xfId="65" applyFont="1" applyBorder="1"/>
    <xf numFmtId="0" fontId="22" fillId="0" borderId="4" xfId="65" applyFont="1" applyBorder="1"/>
    <xf numFmtId="0" fontId="12" fillId="0" borderId="22" xfId="65" applyFont="1" applyBorder="1"/>
    <xf numFmtId="41" fontId="23" fillId="12" borderId="9" xfId="49" applyFont="1" applyFill="1" applyBorder="1" applyAlignment="1">
      <alignment horizontal="center"/>
    </xf>
    <xf numFmtId="41" fontId="23" fillId="12" borderId="9" xfId="49" applyFont="1" applyFill="1" applyBorder="1" applyAlignment="1" applyProtection="1">
      <alignment horizontal="center"/>
    </xf>
    <xf numFmtId="0" fontId="12" fillId="0" borderId="4" xfId="65" applyFont="1" applyBorder="1"/>
    <xf numFmtId="183" fontId="11" fillId="0" borderId="0" xfId="1" applyNumberFormat="1" applyFont="1" applyFill="1" applyBorder="1" applyAlignment="1" applyProtection="1"/>
    <xf numFmtId="0" fontId="19" fillId="0" borderId="9" xfId="65" applyFont="1" applyFill="1" applyBorder="1" applyAlignment="1">
      <alignment horizontal="center"/>
    </xf>
    <xf numFmtId="0" fontId="12" fillId="0" borderId="22" xfId="65" applyFont="1" applyFill="1" applyBorder="1"/>
    <xf numFmtId="41" fontId="23" fillId="12" borderId="2" xfId="65" applyNumberFormat="1" applyFont="1" applyFill="1" applyBorder="1" applyAlignment="1">
      <alignment horizontal="center"/>
    </xf>
    <xf numFmtId="41" fontId="23" fillId="12" borderId="3" xfId="65" applyNumberFormat="1" applyFont="1" applyFill="1" applyBorder="1" applyAlignment="1">
      <alignment horizontal="center"/>
    </xf>
    <xf numFmtId="41" fontId="23" fillId="12" borderId="4" xfId="65" applyNumberFormat="1" applyFont="1" applyFill="1" applyBorder="1" applyAlignment="1">
      <alignment horizontal="center"/>
    </xf>
    <xf numFmtId="41" fontId="32" fillId="0" borderId="9" xfId="65" applyNumberFormat="1" applyFont="1" applyBorder="1"/>
    <xf numFmtId="183" fontId="32" fillId="0" borderId="9" xfId="1" applyNumberFormat="1" applyFont="1" applyFill="1" applyBorder="1" applyAlignment="1" applyProtection="1">
      <alignment horizontal="center"/>
    </xf>
    <xf numFmtId="185" fontId="32" fillId="0" borderId="9" xfId="65" applyNumberFormat="1" applyFont="1" applyBorder="1"/>
    <xf numFmtId="41" fontId="26" fillId="0" borderId="5" xfId="65" applyNumberFormat="1" applyFont="1" applyBorder="1" applyAlignment="1"/>
    <xf numFmtId="185" fontId="11" fillId="0" borderId="9" xfId="65" applyNumberFormat="1" applyFont="1" applyBorder="1"/>
    <xf numFmtId="183" fontId="11" fillId="0" borderId="9" xfId="1" applyNumberFormat="1" applyFont="1" applyFill="1" applyBorder="1" applyAlignment="1" applyProtection="1"/>
    <xf numFmtId="0" fontId="11" fillId="0" borderId="9" xfId="65" applyFont="1" applyBorder="1" applyAlignment="1">
      <alignment horizontal="center"/>
    </xf>
    <xf numFmtId="183" fontId="11" fillId="0" borderId="9" xfId="65" applyNumberFormat="1" applyFont="1" applyBorder="1" applyAlignment="1">
      <alignment horizontal="center"/>
    </xf>
    <xf numFmtId="183" fontId="11" fillId="0" borderId="9" xfId="1" applyNumberFormat="1" applyFont="1" applyFill="1" applyBorder="1" applyAlignment="1" applyProtection="1">
      <alignment horizontal="center"/>
    </xf>
    <xf numFmtId="41" fontId="26" fillId="0" borderId="26" xfId="65" applyNumberFormat="1" applyFont="1" applyBorder="1" applyAlignment="1">
      <alignment horizontal="center"/>
    </xf>
    <xf numFmtId="41" fontId="11" fillId="0" borderId="26" xfId="65" applyNumberFormat="1" applyFont="1" applyBorder="1" applyAlignment="1">
      <alignment horizontal="center"/>
    </xf>
    <xf numFmtId="183" fontId="11" fillId="0" borderId="26" xfId="1" applyNumberFormat="1" applyFont="1" applyFill="1" applyBorder="1" applyAlignment="1" applyProtection="1">
      <alignment horizontal="center"/>
    </xf>
    <xf numFmtId="41" fontId="22" fillId="0" borderId="9" xfId="49" applyFont="1" applyFill="1" applyBorder="1"/>
    <xf numFmtId="41" fontId="33" fillId="0" borderId="26" xfId="65" applyNumberFormat="1" applyFont="1" applyBorder="1" applyAlignment="1">
      <alignment horizontal="center"/>
    </xf>
    <xf numFmtId="185" fontId="11" fillId="0" borderId="26" xfId="65" applyNumberFormat="1" applyFont="1" applyBorder="1" applyAlignment="1">
      <alignment horizontal="center"/>
    </xf>
    <xf numFmtId="41" fontId="26" fillId="0" borderId="3" xfId="65" applyNumberFormat="1" applyFont="1" applyBorder="1" applyAlignment="1">
      <alignment horizontal="center"/>
    </xf>
    <xf numFmtId="183" fontId="11" fillId="0" borderId="3" xfId="1" applyNumberFormat="1" applyFont="1" applyFill="1" applyBorder="1" applyAlignment="1" applyProtection="1">
      <alignment horizontal="center"/>
    </xf>
    <xf numFmtId="183" fontId="26" fillId="0" borderId="26" xfId="1" applyNumberFormat="1" applyFont="1" applyFill="1" applyBorder="1" applyAlignment="1" applyProtection="1">
      <alignment horizontal="center"/>
    </xf>
    <xf numFmtId="181" fontId="26" fillId="0" borderId="26" xfId="1" applyNumberFormat="1" applyFont="1" applyFill="1" applyBorder="1" applyAlignment="1" applyProtection="1">
      <alignment horizontal="center"/>
    </xf>
    <xf numFmtId="0" fontId="11" fillId="0" borderId="4" xfId="65" applyFont="1" applyBorder="1"/>
    <xf numFmtId="0" fontId="1" fillId="0" borderId="0" xfId="67" applyFont="1" applyAlignment="1">
      <alignment horizontal="center"/>
    </xf>
    <xf numFmtId="0" fontId="1" fillId="0" borderId="0" xfId="67" applyFont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5" borderId="28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58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179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  <xf numFmtId="181" fontId="3" fillId="0" borderId="9" xfId="1" applyNumberFormat="1" applyFont="1" applyFill="1" applyBorder="1" applyAlignment="1">
      <alignment horizontal="right" vertical="center"/>
    </xf>
    <xf numFmtId="181" fontId="2" fillId="0" borderId="9" xfId="1" applyNumberFormat="1" applyFont="1" applyFill="1" applyBorder="1" applyAlignment="1">
      <alignment horizontal="center" vertical="center"/>
    </xf>
    <xf numFmtId="181" fontId="3" fillId="0" borderId="1" xfId="1" applyNumberFormat="1" applyFont="1" applyFill="1" applyBorder="1" applyAlignment="1">
      <alignment horizontal="center" vertical="center"/>
    </xf>
    <xf numFmtId="179" fontId="4" fillId="0" borderId="0" xfId="0" applyNumberFormat="1" applyFont="1" applyFill="1" applyAlignment="1"/>
    <xf numFmtId="181" fontId="3" fillId="0" borderId="9" xfId="1" applyNumberFormat="1" applyFont="1" applyFill="1" applyBorder="1" applyAlignment="1">
      <alignment horizontal="center" vertical="center"/>
    </xf>
    <xf numFmtId="181" fontId="3" fillId="0" borderId="9" xfId="1" applyNumberFormat="1" applyFont="1" applyFill="1" applyBorder="1" applyAlignment="1">
      <alignment horizontal="left" vertical="center"/>
    </xf>
    <xf numFmtId="179" fontId="3" fillId="0" borderId="1" xfId="1" applyNumberFormat="1" applyFont="1" applyFill="1" applyBorder="1" applyAlignment="1">
      <alignment horizontal="left" vertical="center"/>
    </xf>
    <xf numFmtId="179" fontId="5" fillId="0" borderId="1" xfId="1" applyNumberFormat="1" applyFont="1" applyFill="1" applyBorder="1" applyAlignment="1">
      <alignment horizontal="center" vertical="center"/>
    </xf>
    <xf numFmtId="179" fontId="5" fillId="0" borderId="29" xfId="0" applyNumberFormat="1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179" fontId="5" fillId="0" borderId="29" xfId="1" applyNumberFormat="1" applyFont="1" applyFill="1" applyBorder="1" applyAlignment="1">
      <alignment horizontal="center" vertical="center"/>
    </xf>
    <xf numFmtId="0" fontId="7" fillId="0" borderId="0" xfId="67" applyFont="1" applyAlignment="1">
      <alignment horizontal="center" vertical="center"/>
    </xf>
    <xf numFmtId="0" fontId="4" fillId="0" borderId="0" xfId="67"/>
    <xf numFmtId="0" fontId="7" fillId="0" borderId="0" xfId="67" applyFont="1" applyAlignment="1">
      <alignment vertical="center"/>
    </xf>
    <xf numFmtId="41" fontId="0" fillId="0" borderId="0" xfId="50" applyFont="1"/>
    <xf numFmtId="0" fontId="10" fillId="0" borderId="0" xfId="67" applyFont="1"/>
    <xf numFmtId="0" fontId="7" fillId="0" borderId="0" xfId="67" applyFont="1"/>
    <xf numFmtId="0" fontId="10" fillId="0" borderId="0" xfId="67" applyFont="1" applyAlignment="1">
      <alignment horizontal="center"/>
    </xf>
    <xf numFmtId="41" fontId="34" fillId="0" borderId="0" xfId="50" applyFont="1" applyBorder="1" applyAlignment="1"/>
    <xf numFmtId="41" fontId="34" fillId="0" borderId="0" xfId="50" applyFont="1" applyBorder="1" applyAlignment="1">
      <alignment horizontal="center"/>
    </xf>
    <xf numFmtId="41" fontId="34" fillId="0" borderId="0" xfId="50" applyFont="1" applyFill="1" applyBorder="1" applyAlignment="1"/>
    <xf numFmtId="0" fontId="10" fillId="0" borderId="0" xfId="67" applyFont="1" applyAlignment="1"/>
    <xf numFmtId="181" fontId="35" fillId="0" borderId="0" xfId="0" applyNumberFormat="1" applyFont="1" applyFill="1" applyAlignment="1"/>
    <xf numFmtId="9" fontId="7" fillId="10" borderId="9" xfId="0" applyNumberFormat="1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left" vertical="center"/>
    </xf>
    <xf numFmtId="181" fontId="4" fillId="7" borderId="9" xfId="1" applyNumberFormat="1" applyFont="1" applyFill="1" applyBorder="1" applyAlignment="1" applyProtection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center"/>
    </xf>
    <xf numFmtId="41" fontId="4" fillId="7" borderId="9" xfId="4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1" fontId="9" fillId="0" borderId="9" xfId="0" applyNumberFormat="1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9" fontId="10" fillId="0" borderId="0" xfId="0" applyNumberFormat="1" applyFont="1" applyFill="1" applyAlignment="1"/>
    <xf numFmtId="9" fontId="10" fillId="0" borderId="0" xfId="0" applyNumberFormat="1" applyFont="1" applyFill="1" applyAlignment="1">
      <alignment horizontal="center"/>
    </xf>
    <xf numFmtId="9" fontId="36" fillId="0" borderId="0" xfId="0" applyNumberFormat="1" applyFont="1" applyFill="1" applyAlignment="1"/>
    <xf numFmtId="9" fontId="36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left"/>
    </xf>
    <xf numFmtId="41" fontId="9" fillId="0" borderId="9" xfId="4" applyFont="1" applyBorder="1" applyAlignment="1">
      <alignment horizontal="center" vertical="center"/>
    </xf>
    <xf numFmtId="41" fontId="4" fillId="0" borderId="9" xfId="4" applyFont="1" applyBorder="1" applyAlignment="1">
      <alignment vertical="center"/>
    </xf>
    <xf numFmtId="0" fontId="4" fillId="0" borderId="9" xfId="64" applyFont="1" applyFill="1" applyBorder="1" applyAlignment="1">
      <alignment vertical="center"/>
    </xf>
    <xf numFmtId="41" fontId="9" fillId="15" borderId="9" xfId="4" applyFont="1" applyFill="1" applyBorder="1" applyAlignment="1">
      <alignment horizontal="center" vertical="center"/>
    </xf>
    <xf numFmtId="0" fontId="4" fillId="0" borderId="0" xfId="68" applyFont="1"/>
    <xf numFmtId="0" fontId="4" fillId="0" borderId="0" xfId="68"/>
    <xf numFmtId="0" fontId="7" fillId="0" borderId="0" xfId="68" applyFont="1" applyAlignment="1">
      <alignment horizontal="center"/>
    </xf>
    <xf numFmtId="0" fontId="7" fillId="0" borderId="0" xfId="68" applyFont="1"/>
    <xf numFmtId="0" fontId="9" fillId="0" borderId="30" xfId="68" applyFont="1" applyBorder="1" applyAlignment="1">
      <alignment horizontal="left"/>
    </xf>
    <xf numFmtId="0" fontId="7" fillId="16" borderId="31" xfId="68" applyFont="1" applyFill="1" applyBorder="1" applyAlignment="1">
      <alignment horizontal="center" vertical="center"/>
    </xf>
    <xf numFmtId="0" fontId="7" fillId="16" borderId="32" xfId="68" applyFont="1" applyFill="1" applyBorder="1" applyAlignment="1">
      <alignment horizontal="center" vertical="center"/>
    </xf>
    <xf numFmtId="0" fontId="7" fillId="16" borderId="33" xfId="68" applyFont="1" applyFill="1" applyBorder="1" applyAlignment="1">
      <alignment horizontal="center" vertical="center"/>
    </xf>
    <xf numFmtId="0" fontId="7" fillId="16" borderId="34" xfId="68" applyFont="1" applyFill="1" applyBorder="1" applyAlignment="1">
      <alignment horizontal="center" vertical="center"/>
    </xf>
    <xf numFmtId="0" fontId="7" fillId="16" borderId="35" xfId="68" applyFont="1" applyFill="1" applyBorder="1" applyAlignment="1">
      <alignment horizontal="center" vertical="center"/>
    </xf>
    <xf numFmtId="0" fontId="7" fillId="16" borderId="36" xfId="68" applyFont="1" applyFill="1" applyBorder="1" applyAlignment="1">
      <alignment horizontal="center" vertical="center"/>
    </xf>
    <xf numFmtId="0" fontId="7" fillId="16" borderId="5" xfId="68" applyFont="1" applyFill="1" applyBorder="1" applyAlignment="1">
      <alignment horizontal="center" vertical="center"/>
    </xf>
    <xf numFmtId="0" fontId="7" fillId="16" borderId="37" xfId="68" applyFont="1" applyFill="1" applyBorder="1" applyAlignment="1">
      <alignment horizontal="center" vertical="center"/>
    </xf>
    <xf numFmtId="0" fontId="9" fillId="7" borderId="38" xfId="68" applyFont="1" applyFill="1" applyBorder="1" applyAlignment="1">
      <alignment horizontal="left" vertical="center"/>
    </xf>
    <xf numFmtId="0" fontId="9" fillId="7" borderId="39" xfId="68" applyFont="1" applyFill="1" applyBorder="1" applyAlignment="1">
      <alignment horizontal="left" vertical="center"/>
    </xf>
    <xf numFmtId="0" fontId="9" fillId="7" borderId="40" xfId="68" applyFont="1" applyFill="1" applyBorder="1" applyAlignment="1">
      <alignment horizontal="left" vertical="center"/>
    </xf>
    <xf numFmtId="0" fontId="4" fillId="16" borderId="41" xfId="68" applyFill="1" applyBorder="1"/>
    <xf numFmtId="41" fontId="0" fillId="16" borderId="41" xfId="53" applyFont="1" applyFill="1" applyBorder="1"/>
    <xf numFmtId="0" fontId="2" fillId="0" borderId="42" xfId="68" applyFont="1" applyBorder="1" applyAlignment="1">
      <alignment horizontal="center"/>
    </xf>
    <xf numFmtId="0" fontId="2" fillId="0" borderId="43" xfId="68" applyFont="1" applyBorder="1"/>
    <xf numFmtId="58" fontId="2" fillId="0" borderId="26" xfId="68" applyNumberFormat="1" applyFont="1" applyBorder="1" applyAlignment="1">
      <alignment horizontal="center" vertical="center"/>
    </xf>
    <xf numFmtId="41" fontId="2" fillId="0" borderId="43" xfId="53" applyFont="1" applyBorder="1" applyAlignment="1">
      <alignment horizontal="center"/>
    </xf>
    <xf numFmtId="41" fontId="4" fillId="0" borderId="0" xfId="68" applyNumberFormat="1"/>
    <xf numFmtId="0" fontId="2" fillId="0" borderId="44" xfId="68" applyFont="1" applyBorder="1" applyAlignment="1">
      <alignment horizontal="center"/>
    </xf>
    <xf numFmtId="0" fontId="2" fillId="0" borderId="45" xfId="68" applyFont="1" applyBorder="1"/>
    <xf numFmtId="58" fontId="2" fillId="0" borderId="3" xfId="68" applyNumberFormat="1" applyFont="1" applyBorder="1" applyAlignment="1">
      <alignment horizontal="center" vertical="center"/>
    </xf>
    <xf numFmtId="41" fontId="2" fillId="0" borderId="45" xfId="53" applyFont="1" applyBorder="1" applyAlignment="1">
      <alignment horizontal="center"/>
    </xf>
    <xf numFmtId="181" fontId="4" fillId="0" borderId="9" xfId="1" applyNumberFormat="1" applyFont="1" applyFill="1" applyBorder="1" applyAlignment="1">
      <alignment vertical="center"/>
    </xf>
    <xf numFmtId="0" fontId="1" fillId="0" borderId="38" xfId="68" applyFont="1" applyBorder="1" applyAlignment="1">
      <alignment horizontal="left" vertical="center"/>
    </xf>
    <xf numFmtId="0" fontId="1" fillId="0" borderId="39" xfId="68" applyFont="1" applyBorder="1" applyAlignment="1">
      <alignment horizontal="left" vertical="center"/>
    </xf>
    <xf numFmtId="0" fontId="1" fillId="0" borderId="40" xfId="68" applyFont="1" applyBorder="1" applyAlignment="1">
      <alignment horizontal="left" vertical="center"/>
    </xf>
    <xf numFmtId="41" fontId="2" fillId="0" borderId="41" xfId="68" applyNumberFormat="1" applyFont="1" applyFill="1" applyBorder="1"/>
    <xf numFmtId="41" fontId="4" fillId="0" borderId="0" xfId="68" applyNumberFormat="1" applyFont="1"/>
    <xf numFmtId="0" fontId="1" fillId="0" borderId="0" xfId="68" applyFont="1" applyAlignment="1">
      <alignment horizontal="left" vertical="center"/>
    </xf>
    <xf numFmtId="41" fontId="2" fillId="0" borderId="0" xfId="68" applyNumberFormat="1" applyFont="1" applyFill="1"/>
    <xf numFmtId="0" fontId="4" fillId="0" borderId="0" xfId="68" applyAlignment="1">
      <alignment horizontal="center"/>
    </xf>
    <xf numFmtId="0" fontId="10" fillId="0" borderId="0" xfId="68" applyFont="1"/>
    <xf numFmtId="186" fontId="4" fillId="0" borderId="0" xfId="68" applyNumberFormat="1"/>
    <xf numFmtId="0" fontId="10" fillId="0" borderId="0" xfId="68" applyFont="1" applyAlignment="1">
      <alignment horizontal="center"/>
    </xf>
    <xf numFmtId="0" fontId="2" fillId="0" borderId="0" xfId="63" applyFont="1"/>
    <xf numFmtId="0" fontId="37" fillId="0" borderId="0" xfId="63" applyFont="1" applyAlignment="1">
      <alignment horizontal="center" vertical="center"/>
    </xf>
    <xf numFmtId="0" fontId="38" fillId="0" borderId="0" xfId="63" applyFont="1" applyAlignment="1">
      <alignment vertical="center"/>
    </xf>
    <xf numFmtId="0" fontId="37" fillId="0" borderId="0" xfId="63" applyFont="1" applyAlignment="1">
      <alignment vertical="center"/>
    </xf>
    <xf numFmtId="0" fontId="38" fillId="0" borderId="0" xfId="63" applyFont="1"/>
    <xf numFmtId="0" fontId="4" fillId="0" borderId="0" xfId="63" applyAlignment="1">
      <alignment horizontal="center" vertical="center"/>
    </xf>
    <xf numFmtId="0" fontId="4" fillId="0" borderId="0" xfId="63"/>
    <xf numFmtId="0" fontId="1" fillId="0" borderId="0" xfId="63" applyFont="1" applyAlignment="1">
      <alignment horizontal="center" vertical="center"/>
    </xf>
    <xf numFmtId="0" fontId="1" fillId="0" borderId="0" xfId="63" applyFont="1" applyAlignment="1">
      <alignment vertical="center"/>
    </xf>
    <xf numFmtId="0" fontId="39" fillId="0" borderId="1" xfId="63" applyFont="1" applyBorder="1" applyAlignment="1">
      <alignment horizontal="center" vertical="center" wrapText="1"/>
    </xf>
    <xf numFmtId="0" fontId="39" fillId="0" borderId="1" xfId="63" applyFont="1" applyBorder="1" applyAlignment="1">
      <alignment horizontal="center" vertical="center"/>
    </xf>
    <xf numFmtId="0" fontId="39" fillId="0" borderId="2" xfId="63" applyFont="1" applyBorder="1" applyAlignment="1">
      <alignment horizontal="center" vertical="center"/>
    </xf>
    <xf numFmtId="0" fontId="39" fillId="0" borderId="3" xfId="63" applyFont="1" applyBorder="1" applyAlignment="1">
      <alignment horizontal="center" vertical="center"/>
    </xf>
    <xf numFmtId="0" fontId="39" fillId="0" borderId="4" xfId="63" applyFont="1" applyBorder="1" applyAlignment="1">
      <alignment horizontal="center" vertical="center"/>
    </xf>
    <xf numFmtId="0" fontId="39" fillId="0" borderId="6" xfId="63" applyFont="1" applyBorder="1" applyAlignment="1">
      <alignment horizontal="center" vertical="center" wrapText="1"/>
    </xf>
    <xf numFmtId="0" fontId="39" fillId="0" borderId="6" xfId="63" applyFont="1" applyBorder="1" applyAlignment="1">
      <alignment horizontal="center" vertical="center"/>
    </xf>
    <xf numFmtId="0" fontId="39" fillId="0" borderId="9" xfId="63" applyFont="1" applyBorder="1" applyAlignment="1">
      <alignment horizontal="center" vertical="center"/>
    </xf>
    <xf numFmtId="0" fontId="39" fillId="0" borderId="7" xfId="63" applyFont="1" applyBorder="1" applyAlignment="1">
      <alignment horizontal="center" vertical="center" wrapText="1"/>
    </xf>
    <xf numFmtId="0" fontId="39" fillId="0" borderId="7" xfId="63" applyFont="1" applyBorder="1" applyAlignment="1">
      <alignment horizontal="center" vertical="center"/>
    </xf>
    <xf numFmtId="0" fontId="39" fillId="0" borderId="8" xfId="63" applyFont="1" applyBorder="1" applyAlignment="1">
      <alignment horizontal="center" vertical="center"/>
    </xf>
    <xf numFmtId="0" fontId="37" fillId="0" borderId="9" xfId="63" applyFont="1" applyBorder="1" applyAlignment="1">
      <alignment horizontal="center" vertical="center"/>
    </xf>
    <xf numFmtId="0" fontId="36" fillId="0" borderId="9" xfId="63" applyFont="1" applyBorder="1" applyAlignment="1">
      <alignment horizontal="center" vertical="center"/>
    </xf>
    <xf numFmtId="0" fontId="36" fillId="0" borderId="9" xfId="63" applyFont="1" applyBorder="1" applyAlignment="1">
      <alignment vertical="center"/>
    </xf>
    <xf numFmtId="183" fontId="36" fillId="0" borderId="9" xfId="54" applyNumberFormat="1" applyFont="1" applyBorder="1" applyAlignment="1">
      <alignment vertical="center"/>
    </xf>
    <xf numFmtId="183" fontId="36" fillId="0" borderId="9" xfId="54" applyNumberFormat="1" applyFont="1" applyBorder="1" applyAlignment="1">
      <alignment horizontal="center" vertical="center"/>
    </xf>
    <xf numFmtId="183" fontId="36" fillId="0" borderId="6" xfId="63" applyNumberFormat="1" applyFont="1" applyBorder="1" applyAlignment="1">
      <alignment horizontal="center" vertical="center" wrapText="1"/>
    </xf>
    <xf numFmtId="183" fontId="36" fillId="0" borderId="9" xfId="54" applyNumberFormat="1" applyFont="1" applyBorder="1" applyAlignment="1">
      <alignment horizontal="center" vertical="center" wrapText="1"/>
    </xf>
    <xf numFmtId="183" fontId="38" fillId="0" borderId="0" xfId="63" applyNumberFormat="1" applyFont="1" applyAlignment="1">
      <alignment vertical="center"/>
    </xf>
    <xf numFmtId="178" fontId="38" fillId="0" borderId="0" xfId="54" applyFont="1" applyAlignment="1">
      <alignment vertical="center"/>
    </xf>
    <xf numFmtId="183" fontId="36" fillId="0" borderId="7" xfId="63" applyNumberFormat="1" applyFont="1" applyBorder="1" applyAlignment="1">
      <alignment horizontal="center" vertical="center" wrapText="1"/>
    </xf>
    <xf numFmtId="0" fontId="39" fillId="0" borderId="9" xfId="63" applyFont="1" applyBorder="1" applyAlignment="1">
      <alignment vertical="center"/>
    </xf>
    <xf numFmtId="183" fontId="39" fillId="0" borderId="9" xfId="54" applyNumberFormat="1" applyFont="1" applyBorder="1" applyAlignment="1">
      <alignment vertical="center"/>
    </xf>
    <xf numFmtId="183" fontId="37" fillId="0" borderId="0" xfId="63" applyNumberFormat="1" applyFont="1" applyAlignment="1">
      <alignment vertical="center"/>
    </xf>
    <xf numFmtId="183" fontId="37" fillId="0" borderId="0" xfId="54" applyNumberFormat="1" applyFont="1" applyBorder="1" applyAlignment="1">
      <alignment vertical="center"/>
    </xf>
    <xf numFmtId="0" fontId="39" fillId="0" borderId="0" xfId="63" applyFont="1" applyAlignment="1">
      <alignment horizontal="center" vertical="center"/>
    </xf>
    <xf numFmtId="0" fontId="39" fillId="0" borderId="0" xfId="63" applyFont="1" applyAlignment="1">
      <alignment vertical="center"/>
    </xf>
    <xf numFmtId="183" fontId="39" fillId="0" borderId="0" xfId="54" applyNumberFormat="1" applyFont="1" applyBorder="1" applyAlignment="1">
      <alignment vertical="center"/>
    </xf>
    <xf numFmtId="183" fontId="37" fillId="0" borderId="0" xfId="54" applyNumberFormat="1" applyFont="1" applyAlignment="1">
      <alignment vertical="center"/>
    </xf>
    <xf numFmtId="0" fontId="39" fillId="0" borderId="5" xfId="63" applyFont="1" applyBorder="1" applyAlignment="1">
      <alignment horizontal="center" vertical="center"/>
    </xf>
    <xf numFmtId="0" fontId="39" fillId="0" borderId="22" xfId="63" applyFont="1" applyBorder="1" applyAlignment="1">
      <alignment horizontal="center" vertical="center"/>
    </xf>
    <xf numFmtId="0" fontId="39" fillId="0" borderId="3" xfId="63" applyFont="1" applyBorder="1" applyAlignment="1">
      <alignment vertical="center"/>
    </xf>
    <xf numFmtId="0" fontId="39" fillId="0" borderId="4" xfId="63" applyFont="1" applyBorder="1" applyAlignment="1">
      <alignment vertical="center"/>
    </xf>
    <xf numFmtId="0" fontId="39" fillId="0" borderId="9" xfId="63" applyFont="1" applyBorder="1" applyAlignment="1">
      <alignment horizontal="center" vertical="center" wrapText="1"/>
    </xf>
    <xf numFmtId="0" fontId="39" fillId="0" borderId="0" xfId="63" applyFont="1" applyBorder="1" applyAlignment="1">
      <alignment horizontal="center" vertical="center"/>
    </xf>
    <xf numFmtId="0" fontId="39" fillId="0" borderId="0" xfId="63" applyFont="1" applyBorder="1" applyAlignment="1">
      <alignment vertical="center"/>
    </xf>
    <xf numFmtId="183" fontId="38" fillId="0" borderId="0" xfId="54" applyNumberFormat="1" applyFont="1" applyAlignment="1"/>
    <xf numFmtId="0" fontId="39" fillId="0" borderId="25" xfId="63" applyFont="1" applyBorder="1" applyAlignment="1">
      <alignment horizontal="center" vertical="center"/>
    </xf>
    <xf numFmtId="183" fontId="37" fillId="0" borderId="0" xfId="63" applyNumberFormat="1" applyFont="1" applyAlignment="1">
      <alignment horizontal="center" vertical="center"/>
    </xf>
    <xf numFmtId="0" fontId="39" fillId="0" borderId="20" xfId="63" applyFont="1" applyBorder="1" applyAlignment="1">
      <alignment horizontal="center" vertical="center"/>
    </xf>
    <xf numFmtId="183" fontId="39" fillId="0" borderId="0" xfId="63" applyNumberFormat="1" applyFont="1" applyAlignment="1">
      <alignment vertical="center"/>
    </xf>
    <xf numFmtId="0" fontId="38" fillId="0" borderId="0" xfId="63" applyFont="1" applyAlignment="1">
      <alignment horizontal="center" vertical="center"/>
    </xf>
    <xf numFmtId="0" fontId="39" fillId="0" borderId="26" xfId="63" applyFont="1" applyBorder="1" applyAlignment="1">
      <alignment horizontal="center" vertical="center"/>
    </xf>
    <xf numFmtId="9" fontId="38" fillId="0" borderId="0" xfId="70" applyFont="1" applyAlignment="1"/>
    <xf numFmtId="183" fontId="36" fillId="0" borderId="23" xfId="54" applyNumberFormat="1" applyFont="1" applyBorder="1" applyAlignment="1">
      <alignment horizontal="center" vertical="center"/>
    </xf>
    <xf numFmtId="183" fontId="36" fillId="0" borderId="20" xfId="54" applyNumberFormat="1" applyFont="1" applyBorder="1" applyAlignment="1">
      <alignment horizontal="center" vertical="center"/>
    </xf>
    <xf numFmtId="183" fontId="36" fillId="0" borderId="25" xfId="54" applyNumberFormat="1" applyFont="1" applyBorder="1" applyAlignment="1">
      <alignment horizontal="center" vertical="center"/>
    </xf>
    <xf numFmtId="183" fontId="36" fillId="0" borderId="0" xfId="54" applyNumberFormat="1" applyFont="1" applyBorder="1" applyAlignment="1">
      <alignment horizontal="center" vertical="center"/>
    </xf>
    <xf numFmtId="183" fontId="38" fillId="0" borderId="0" xfId="54" applyNumberFormat="1" applyFont="1" applyBorder="1" applyAlignment="1"/>
    <xf numFmtId="183" fontId="36" fillId="0" borderId="26" xfId="54" applyNumberFormat="1" applyFont="1" applyBorder="1" applyAlignment="1">
      <alignment horizontal="center" vertical="center"/>
    </xf>
    <xf numFmtId="183" fontId="36" fillId="0" borderId="7" xfId="54" applyNumberFormat="1" applyFont="1" applyBorder="1" applyAlignment="1">
      <alignment horizontal="center" vertical="center"/>
    </xf>
    <xf numFmtId="183" fontId="39" fillId="0" borderId="23" xfId="54" applyNumberFormat="1" applyFont="1" applyBorder="1" applyAlignment="1">
      <alignment vertical="center"/>
    </xf>
    <xf numFmtId="183" fontId="4" fillId="0" borderId="0" xfId="63" applyNumberFormat="1"/>
    <xf numFmtId="183" fontId="0" fillId="0" borderId="0" xfId="54" applyNumberFormat="1" applyFont="1" applyAlignment="1"/>
    <xf numFmtId="0" fontId="4" fillId="0" borderId="0" xfId="67" applyFill="1"/>
    <xf numFmtId="0" fontId="4" fillId="7" borderId="0" xfId="67" applyFill="1"/>
    <xf numFmtId="0" fontId="7" fillId="0" borderId="0" xfId="67" applyFont="1" applyAlignment="1">
      <alignment horizontal="center"/>
    </xf>
    <xf numFmtId="0" fontId="36" fillId="0" borderId="0" xfId="67" applyFont="1"/>
    <xf numFmtId="0" fontId="7" fillId="0" borderId="0" xfId="67" applyFont="1" applyBorder="1" applyAlignment="1">
      <alignment horizontal="center" vertical="center"/>
    </xf>
    <xf numFmtId="0" fontId="39" fillId="0" borderId="9" xfId="67" applyFont="1" applyBorder="1" applyAlignment="1">
      <alignment horizontal="center" vertical="center"/>
    </xf>
    <xf numFmtId="0" fontId="39" fillId="7" borderId="9" xfId="67" applyFont="1" applyFill="1" applyBorder="1" applyAlignment="1">
      <alignment horizontal="center" vertical="center"/>
    </xf>
    <xf numFmtId="0" fontId="39" fillId="17" borderId="9" xfId="67" applyFont="1" applyFill="1" applyBorder="1" applyAlignment="1">
      <alignment horizontal="center" vertical="center"/>
    </xf>
    <xf numFmtId="0" fontId="39" fillId="18" borderId="1" xfId="67" applyFont="1" applyFill="1" applyBorder="1" applyAlignment="1">
      <alignment horizontal="center" vertical="center"/>
    </xf>
    <xf numFmtId="0" fontId="39" fillId="18" borderId="9" xfId="67" applyFont="1" applyFill="1" applyBorder="1" applyAlignment="1">
      <alignment horizontal="center" vertical="center" wrapText="1"/>
    </xf>
    <xf numFmtId="0" fontId="39" fillId="18" borderId="3" xfId="67" applyFont="1" applyFill="1" applyBorder="1" applyAlignment="1">
      <alignment horizontal="center" wrapText="1"/>
    </xf>
    <xf numFmtId="0" fontId="39" fillId="18" borderId="4" xfId="67" applyFont="1" applyFill="1" applyBorder="1" applyAlignment="1">
      <alignment horizontal="center" wrapText="1"/>
    </xf>
    <xf numFmtId="0" fontId="39" fillId="19" borderId="9" xfId="67" applyFont="1" applyFill="1" applyBorder="1" applyAlignment="1">
      <alignment horizontal="center" vertical="center" wrapText="1"/>
    </xf>
    <xf numFmtId="0" fontId="39" fillId="20" borderId="9" xfId="67" applyFont="1" applyFill="1" applyBorder="1" applyAlignment="1">
      <alignment horizontal="center"/>
    </xf>
    <xf numFmtId="0" fontId="39" fillId="10" borderId="9" xfId="67" applyFont="1" applyFill="1" applyBorder="1" applyAlignment="1">
      <alignment horizontal="center"/>
    </xf>
    <xf numFmtId="0" fontId="39" fillId="18" borderId="7" xfId="67" applyFont="1" applyFill="1" applyBorder="1" applyAlignment="1">
      <alignment horizontal="center" vertical="center"/>
    </xf>
    <xf numFmtId="0" fontId="39" fillId="18" borderId="9" xfId="67" applyFont="1" applyFill="1" applyBorder="1" applyAlignment="1">
      <alignment horizontal="center" wrapText="1"/>
    </xf>
    <xf numFmtId="41" fontId="36" fillId="0" borderId="0" xfId="67" applyNumberFormat="1" applyFont="1"/>
    <xf numFmtId="0" fontId="36" fillId="7" borderId="9" xfId="67" applyFont="1" applyFill="1" applyBorder="1" applyAlignment="1">
      <alignment horizontal="center"/>
    </xf>
    <xf numFmtId="58" fontId="36" fillId="7" borderId="9" xfId="0" applyNumberFormat="1" applyFont="1" applyFill="1" applyBorder="1"/>
    <xf numFmtId="0" fontId="40" fillId="7" borderId="9" xfId="0" applyFont="1" applyFill="1" applyBorder="1"/>
    <xf numFmtId="0" fontId="41" fillId="7" borderId="9" xfId="0" applyFont="1" applyFill="1" applyBorder="1"/>
    <xf numFmtId="41" fontId="41" fillId="7" borderId="9" xfId="4" applyFont="1" applyFill="1" applyBorder="1"/>
    <xf numFmtId="0" fontId="41" fillId="7" borderId="9" xfId="0" applyFont="1" applyFill="1" applyBorder="1" applyAlignment="1">
      <alignment horizontal="center" vertical="center"/>
    </xf>
    <xf numFmtId="41" fontId="36" fillId="0" borderId="0" xfId="50" applyFont="1"/>
    <xf numFmtId="0" fontId="36" fillId="7" borderId="9" xfId="0" applyFont="1" applyFill="1" applyBorder="1"/>
    <xf numFmtId="0" fontId="41" fillId="0" borderId="9" xfId="0" applyFont="1" applyFill="1" applyBorder="1"/>
    <xf numFmtId="41" fontId="41" fillId="0" borderId="9" xfId="4" applyFont="1" applyFill="1" applyBorder="1"/>
    <xf numFmtId="0" fontId="41" fillId="0" borderId="9" xfId="0" applyFont="1" applyFill="1" applyBorder="1" applyAlignment="1">
      <alignment horizontal="center" vertical="center"/>
    </xf>
    <xf numFmtId="0" fontId="36" fillId="0" borderId="9" xfId="0" applyFont="1" applyFill="1" applyBorder="1"/>
    <xf numFmtId="41" fontId="36" fillId="0" borderId="9" xfId="4" applyFont="1" applyFill="1" applyBorder="1"/>
    <xf numFmtId="0" fontId="36" fillId="0" borderId="9" xfId="0" applyFont="1" applyFill="1" applyBorder="1" applyAlignment="1">
      <alignment horizontal="center" vertical="center"/>
    </xf>
    <xf numFmtId="181" fontId="36" fillId="0" borderId="0" xfId="57" applyNumberFormat="1" applyFont="1"/>
    <xf numFmtId="0" fontId="40" fillId="0" borderId="9" xfId="0" applyFont="1" applyFill="1" applyBorder="1"/>
    <xf numFmtId="41" fontId="40" fillId="0" borderId="9" xfId="4" applyFont="1" applyFill="1" applyBorder="1"/>
    <xf numFmtId="0" fontId="40" fillId="0" borderId="9" xfId="0" applyFont="1" applyFill="1" applyBorder="1" applyAlignment="1">
      <alignment horizontal="center" vertical="center"/>
    </xf>
    <xf numFmtId="0" fontId="36" fillId="0" borderId="9" xfId="67" applyFont="1" applyFill="1" applyBorder="1" applyAlignment="1">
      <alignment horizontal="center"/>
    </xf>
    <xf numFmtId="0" fontId="41" fillId="12" borderId="9" xfId="0" applyFont="1" applyFill="1" applyBorder="1"/>
    <xf numFmtId="0" fontId="36" fillId="12" borderId="9" xfId="0" applyFont="1" applyFill="1" applyBorder="1"/>
    <xf numFmtId="41" fontId="36" fillId="12" borderId="9" xfId="4" applyFont="1" applyFill="1" applyBorder="1"/>
    <xf numFmtId="41" fontId="41" fillId="12" borderId="9" xfId="4" applyFont="1" applyFill="1" applyBorder="1"/>
    <xf numFmtId="0" fontId="36" fillId="12" borderId="9" xfId="0" applyFont="1" applyFill="1" applyBorder="1" applyAlignment="1">
      <alignment horizontal="center" vertical="center"/>
    </xf>
    <xf numFmtId="41" fontId="40" fillId="12" borderId="9" xfId="4" applyFont="1" applyFill="1" applyBorder="1"/>
    <xf numFmtId="58" fontId="36" fillId="0" borderId="9" xfId="0" applyNumberFormat="1" applyFont="1" applyFill="1" applyBorder="1"/>
    <xf numFmtId="181" fontId="36" fillId="0" borderId="0" xfId="67" applyNumberFormat="1" applyFont="1"/>
    <xf numFmtId="0" fontId="41" fillId="12" borderId="9" xfId="0" applyFont="1" applyFill="1" applyBorder="1" applyAlignment="1">
      <alignment horizontal="center" vertical="center"/>
    </xf>
    <xf numFmtId="41" fontId="4" fillId="0" borderId="0" xfId="67" applyNumberFormat="1"/>
    <xf numFmtId="41" fontId="7" fillId="0" borderId="0" xfId="67" applyNumberFormat="1" applyFont="1"/>
    <xf numFmtId="41" fontId="36" fillId="0" borderId="0" xfId="67" applyNumberFormat="1" applyFont="1" applyFill="1"/>
    <xf numFmtId="0" fontId="36" fillId="0" borderId="0" xfId="67" applyFont="1" applyFill="1"/>
    <xf numFmtId="0" fontId="36" fillId="0" borderId="9" xfId="67" applyFont="1" applyFill="1" applyBorder="1" applyAlignment="1">
      <alignment horizontal="left" vertical="center"/>
    </xf>
    <xf numFmtId="41" fontId="36" fillId="0" borderId="9" xfId="50" applyFont="1" applyFill="1" applyBorder="1" applyAlignment="1">
      <alignment horizontal="left" vertical="center"/>
    </xf>
    <xf numFmtId="41" fontId="41" fillId="0" borderId="9" xfId="4" applyFont="1" applyFill="1" applyBorder="1" applyAlignment="1">
      <alignment horizontal="left"/>
    </xf>
    <xf numFmtId="0" fontId="36" fillId="0" borderId="9" xfId="67" applyFont="1" applyFill="1" applyBorder="1" applyAlignment="1">
      <alignment horizontal="center" vertical="center"/>
    </xf>
    <xf numFmtId="41" fontId="40" fillId="0" borderId="0" xfId="67" applyNumberFormat="1" applyFont="1"/>
    <xf numFmtId="0" fontId="36" fillId="12" borderId="9" xfId="67" applyFont="1" applyFill="1" applyBorder="1" applyAlignment="1">
      <alignment horizontal="left" vertical="center"/>
    </xf>
    <xf numFmtId="41" fontId="36" fillId="12" borderId="9" xfId="50" applyFont="1" applyFill="1" applyBorder="1" applyAlignment="1">
      <alignment vertical="center"/>
    </xf>
    <xf numFmtId="41" fontId="41" fillId="12" borderId="9" xfId="4" applyFont="1" applyFill="1" applyBorder="1" applyAlignment="1">
      <alignment horizontal="left"/>
    </xf>
    <xf numFmtId="41" fontId="36" fillId="12" borderId="9" xfId="50" applyFont="1" applyFill="1" applyBorder="1" applyAlignment="1">
      <alignment horizontal="left" vertical="center"/>
    </xf>
    <xf numFmtId="0" fontId="36" fillId="12" borderId="9" xfId="67" applyFont="1" applyFill="1" applyBorder="1" applyAlignment="1">
      <alignment horizontal="center" vertical="center"/>
    </xf>
    <xf numFmtId="41" fontId="36" fillId="0" borderId="9" xfId="50" applyFont="1" applyFill="1" applyBorder="1" applyAlignment="1">
      <alignment vertical="center"/>
    </xf>
    <xf numFmtId="0" fontId="42" fillId="0" borderId="9" xfId="67" applyFont="1" applyFill="1" applyBorder="1" applyAlignment="1">
      <alignment horizontal="center" vertical="center"/>
    </xf>
    <xf numFmtId="0" fontId="36" fillId="7" borderId="9" xfId="67" applyFont="1" applyFill="1" applyBorder="1" applyAlignment="1">
      <alignment horizontal="center" vertical="center"/>
    </xf>
    <xf numFmtId="0" fontId="42" fillId="7" borderId="9" xfId="67" applyFont="1" applyFill="1" applyBorder="1" applyAlignment="1">
      <alignment horizontal="center" vertical="center"/>
    </xf>
    <xf numFmtId="41" fontId="42" fillId="7" borderId="9" xfId="50" applyFont="1" applyFill="1" applyBorder="1" applyAlignment="1">
      <alignment vertical="center"/>
    </xf>
    <xf numFmtId="41" fontId="43" fillId="7" borderId="9" xfId="4" applyFont="1" applyFill="1" applyBorder="1"/>
    <xf numFmtId="181" fontId="4" fillId="0" borderId="0" xfId="1" applyNumberFormat="1" applyFont="1" applyFill="1" applyBorder="1" applyAlignment="1" applyProtection="1"/>
    <xf numFmtId="181" fontId="4" fillId="0" borderId="0" xfId="67" applyNumberFormat="1"/>
    <xf numFmtId="181" fontId="0" fillId="0" borderId="0" xfId="57" applyNumberFormat="1" applyFont="1"/>
    <xf numFmtId="0" fontId="10" fillId="0" borderId="0" xfId="67" applyFont="1" applyAlignment="1">
      <alignment horizontal="left"/>
    </xf>
    <xf numFmtId="41" fontId="34" fillId="0" borderId="0" xfId="50" applyFont="1" applyAlignment="1">
      <alignment horizontal="center"/>
    </xf>
    <xf numFmtId="0" fontId="0" fillId="0" borderId="0" xfId="0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0" fillId="0" borderId="0" xfId="0" applyAlignment="1">
      <alignment horizontal="left"/>
    </xf>
    <xf numFmtId="0" fontId="4" fillId="12" borderId="17" xfId="0" applyFont="1" applyFill="1" applyBorder="1" applyAlignment="1">
      <alignment horizontal="center" vertical="center"/>
    </xf>
    <xf numFmtId="0" fontId="4" fillId="12" borderId="19" xfId="0" applyFont="1" applyFill="1" applyBorder="1" applyAlignment="1">
      <alignment horizontal="center" vertical="center"/>
    </xf>
    <xf numFmtId="0" fontId="4" fillId="12" borderId="15" xfId="0" applyFont="1" applyFill="1" applyBorder="1" applyAlignment="1">
      <alignment horizontal="center" vertical="center"/>
    </xf>
    <xf numFmtId="0" fontId="4" fillId="12" borderId="15" xfId="0" applyFont="1" applyFill="1" applyBorder="1" applyAlignment="1">
      <alignment horizontal="center" vertical="center" wrapText="1"/>
    </xf>
    <xf numFmtId="0" fontId="4" fillId="12" borderId="19" xfId="0" applyFont="1" applyFill="1" applyBorder="1" applyAlignment="1">
      <alignment horizontal="center" vertical="center" wrapText="1"/>
    </xf>
    <xf numFmtId="0" fontId="4" fillId="12" borderId="46" xfId="0" applyFont="1" applyFill="1" applyBorder="1" applyAlignment="1">
      <alignment horizontal="center" vertical="center" wrapText="1"/>
    </xf>
    <xf numFmtId="0" fontId="4" fillId="12" borderId="24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/>
    </xf>
    <xf numFmtId="0" fontId="4" fillId="12" borderId="47" xfId="0" applyFont="1" applyFill="1" applyBorder="1" applyAlignment="1">
      <alignment horizontal="center" vertical="center" wrapText="1"/>
    </xf>
    <xf numFmtId="0" fontId="4" fillId="12" borderId="48" xfId="0" applyFont="1" applyFill="1" applyBorder="1" applyAlignment="1">
      <alignment horizontal="center" vertical="center"/>
    </xf>
    <xf numFmtId="0" fontId="44" fillId="7" borderId="9" xfId="0" applyFont="1" applyFill="1" applyBorder="1"/>
    <xf numFmtId="41" fontId="0" fillId="0" borderId="9" xfId="4" applyFont="1" applyFill="1" applyBorder="1" applyAlignment="1">
      <alignment vertical="center"/>
    </xf>
    <xf numFmtId="41" fontId="0" fillId="7" borderId="9" xfId="4" applyFont="1" applyFill="1" applyBorder="1" applyAlignment="1">
      <alignment horizontal="left" vertical="center"/>
    </xf>
    <xf numFmtId="181" fontId="4" fillId="0" borderId="9" xfId="1" applyNumberFormat="1" applyFont="1" applyBorder="1" applyAlignment="1">
      <alignment vertical="center"/>
    </xf>
    <xf numFmtId="181" fontId="4" fillId="0" borderId="9" xfId="1" applyNumberFormat="1" applyFont="1" applyBorder="1" applyAlignment="1">
      <alignment horizontal="center" vertical="center"/>
    </xf>
    <xf numFmtId="181" fontId="0" fillId="0" borderId="9" xfId="1" applyNumberFormat="1" applyFont="1" applyFill="1" applyBorder="1" applyAlignment="1">
      <alignment vertical="center"/>
    </xf>
    <xf numFmtId="41" fontId="0" fillId="7" borderId="9" xfId="4" applyFont="1" applyFill="1" applyBorder="1"/>
    <xf numFmtId="41" fontId="0" fillId="7" borderId="9" xfId="4" applyFont="1" applyFill="1" applyBorder="1" applyAlignment="1">
      <alignment horizontal="left"/>
    </xf>
    <xf numFmtId="0" fontId="44" fillId="7" borderId="9" xfId="0" applyFont="1" applyFill="1" applyBorder="1" applyAlignment="1">
      <alignment vertical="center"/>
    </xf>
    <xf numFmtId="41" fontId="0" fillId="7" borderId="9" xfId="0" applyNumberFormat="1" applyFill="1" applyBorder="1" applyAlignment="1">
      <alignment horizontal="center" vertical="center"/>
    </xf>
    <xf numFmtId="41" fontId="0" fillId="7" borderId="9" xfId="0" applyNumberFormat="1" applyFill="1" applyBorder="1" applyAlignment="1">
      <alignment horizontal="left" vertical="center"/>
    </xf>
    <xf numFmtId="41" fontId="0" fillId="7" borderId="9" xfId="4" applyFont="1" applyFill="1" applyBorder="1" applyAlignment="1">
      <alignment vertical="center"/>
    </xf>
    <xf numFmtId="41" fontId="4" fillId="7" borderId="9" xfId="4" applyFont="1" applyFill="1" applyBorder="1" applyAlignment="1">
      <alignment horizontal="left" vertical="center"/>
    </xf>
    <xf numFmtId="181" fontId="4" fillId="7" borderId="9" xfId="1" applyNumberFormat="1" applyFont="1" applyFill="1" applyBorder="1" applyAlignment="1">
      <alignment vertical="center"/>
    </xf>
    <xf numFmtId="181" fontId="4" fillId="7" borderId="9" xfId="1" applyNumberFormat="1" applyFont="1" applyFill="1" applyBorder="1" applyAlignment="1">
      <alignment horizontal="center" vertical="center"/>
    </xf>
    <xf numFmtId="181" fontId="0" fillId="7" borderId="9" xfId="1" applyNumberFormat="1" applyFont="1" applyFill="1" applyBorder="1" applyAlignment="1">
      <alignment vertical="center"/>
    </xf>
    <xf numFmtId="0" fontId="44" fillId="0" borderId="9" xfId="0" applyFont="1" applyBorder="1" applyAlignment="1">
      <alignment horizontal="left" vertical="center"/>
    </xf>
    <xf numFmtId="41" fontId="0" fillId="0" borderId="9" xfId="4" applyFont="1" applyFill="1" applyBorder="1" applyAlignment="1">
      <alignment horizontal="left" vertical="center"/>
    </xf>
    <xf numFmtId="181" fontId="4" fillId="0" borderId="9" xfId="1" applyNumberFormat="1" applyFont="1" applyBorder="1" applyAlignment="1">
      <alignment horizontal="left" vertical="center"/>
    </xf>
    <xf numFmtId="181" fontId="0" fillId="0" borderId="0" xfId="0" applyNumberFormat="1"/>
    <xf numFmtId="0" fontId="44" fillId="7" borderId="9" xfId="0" applyFont="1" applyFill="1" applyBorder="1" applyAlignment="1">
      <alignment horizontal="left" vertical="center"/>
    </xf>
    <xf numFmtId="41" fontId="0" fillId="7" borderId="9" xfId="0" applyNumberFormat="1" applyFill="1" applyBorder="1"/>
    <xf numFmtId="41" fontId="45" fillId="7" borderId="9" xfId="0" applyNumberFormat="1" applyFont="1" applyFill="1" applyBorder="1" applyAlignment="1">
      <alignment horizontal="left"/>
    </xf>
    <xf numFmtId="41" fontId="0" fillId="0" borderId="0" xfId="0" applyNumberFormat="1"/>
    <xf numFmtId="0" fontId="44" fillId="0" borderId="9" xfId="0" applyFont="1" applyBorder="1" applyAlignment="1">
      <alignment vertical="center"/>
    </xf>
    <xf numFmtId="41" fontId="0" fillId="0" borderId="9" xfId="0" applyNumberFormat="1" applyBorder="1"/>
    <xf numFmtId="41" fontId="0" fillId="0" borderId="9" xfId="0" applyNumberFormat="1" applyBorder="1" applyAlignment="1">
      <alignment horizontal="left"/>
    </xf>
    <xf numFmtId="0" fontId="7" fillId="7" borderId="9" xfId="0" applyFont="1" applyFill="1" applyBorder="1" applyAlignment="1">
      <alignment vertical="center"/>
    </xf>
    <xf numFmtId="181" fontId="46" fillId="7" borderId="9" xfId="1" applyNumberFormat="1" applyFont="1" applyFill="1" applyBorder="1" applyAlignment="1">
      <alignment horizontal="left" vertical="center"/>
    </xf>
    <xf numFmtId="185" fontId="0" fillId="0" borderId="0" xfId="0" applyNumberFormat="1"/>
    <xf numFmtId="41" fontId="47" fillId="7" borderId="9" xfId="0" applyNumberFormat="1" applyFont="1" applyFill="1" applyBorder="1" applyAlignment="1">
      <alignment horizontal="left"/>
    </xf>
    <xf numFmtId="41" fontId="0" fillId="7" borderId="9" xfId="0" applyNumberFormat="1" applyFill="1" applyBorder="1" applyAlignment="1">
      <alignment horizontal="left"/>
    </xf>
    <xf numFmtId="41" fontId="0" fillId="7" borderId="9" xfId="4" applyFont="1" applyFill="1" applyBorder="1" applyAlignment="1">
      <alignment horizontal="center"/>
    </xf>
    <xf numFmtId="0" fontId="7" fillId="7" borderId="9" xfId="0" applyFont="1" applyFill="1" applyBorder="1"/>
    <xf numFmtId="41" fontId="47" fillId="7" borderId="0" xfId="0" applyNumberFormat="1" applyFont="1" applyFill="1"/>
    <xf numFmtId="41" fontId="48" fillId="7" borderId="9" xfId="4" applyFont="1" applyFill="1" applyBorder="1" applyAlignment="1">
      <alignment horizontal="left"/>
    </xf>
    <xf numFmtId="41" fontId="47" fillId="7" borderId="9" xfId="4" applyFont="1" applyFill="1" applyBorder="1" applyAlignment="1">
      <alignment horizontal="left"/>
    </xf>
    <xf numFmtId="181" fontId="0" fillId="0" borderId="9" xfId="1" applyNumberFormat="1" applyFont="1" applyFill="1" applyBorder="1" applyAlignment="1">
      <alignment horizontal="left" vertical="top"/>
    </xf>
    <xf numFmtId="181" fontId="0" fillId="0" borderId="0" xfId="1" applyNumberFormat="1" applyFont="1"/>
    <xf numFmtId="41" fontId="4" fillId="7" borderId="9" xfId="4" applyFont="1" applyFill="1" applyBorder="1" applyAlignment="1">
      <alignment vertical="center"/>
    </xf>
    <xf numFmtId="181" fontId="0" fillId="0" borderId="0" xfId="1" applyNumberFormat="1"/>
    <xf numFmtId="41" fontId="0" fillId="7" borderId="9" xfId="4" applyFont="1" applyFill="1" applyBorder="1" applyAlignment="1">
      <alignment horizontal="center" vertical="center"/>
    </xf>
    <xf numFmtId="0" fontId="7" fillId="7" borderId="7" xfId="0" applyFont="1" applyFill="1" applyBorder="1"/>
    <xf numFmtId="41" fontId="0" fillId="0" borderId="7" xfId="4" applyFont="1" applyFill="1" applyBorder="1" applyAlignment="1">
      <alignment vertical="center"/>
    </xf>
    <xf numFmtId="41" fontId="0" fillId="7" borderId="7" xfId="4" applyFont="1" applyFill="1" applyBorder="1" applyAlignment="1">
      <alignment horizontal="left" vertical="center"/>
    </xf>
    <xf numFmtId="181" fontId="4" fillId="0" borderId="7" xfId="1" applyNumberFormat="1" applyFont="1" applyBorder="1" applyAlignment="1">
      <alignment vertical="center"/>
    </xf>
    <xf numFmtId="181" fontId="4" fillId="0" borderId="7" xfId="1" applyNumberFormat="1" applyFont="1" applyBorder="1" applyAlignment="1">
      <alignment horizontal="center" vertical="center"/>
    </xf>
    <xf numFmtId="181" fontId="0" fillId="0" borderId="7" xfId="1" applyNumberFormat="1" applyFont="1" applyFill="1" applyBorder="1" applyAlignment="1">
      <alignment vertical="center"/>
    </xf>
    <xf numFmtId="41" fontId="0" fillId="7" borderId="20" xfId="4" applyFont="1" applyFill="1" applyBorder="1" applyAlignment="1">
      <alignment horizontal="center"/>
    </xf>
    <xf numFmtId="181" fontId="0" fillId="7" borderId="7" xfId="1" applyNumberFormat="1" applyFont="1" applyFill="1" applyBorder="1" applyAlignment="1">
      <alignment horizontal="center" vertical="center"/>
    </xf>
    <xf numFmtId="0" fontId="7" fillId="7" borderId="8" xfId="0" applyFont="1" applyFill="1" applyBorder="1"/>
    <xf numFmtId="58" fontId="0" fillId="0" borderId="7" xfId="4" applyNumberFormat="1" applyFont="1" applyFill="1" applyBorder="1" applyAlignment="1">
      <alignment vertical="center"/>
    </xf>
    <xf numFmtId="0" fontId="7" fillId="7" borderId="4" xfId="0" applyFont="1" applyFill="1" applyBorder="1"/>
    <xf numFmtId="58" fontId="0" fillId="0" borderId="9" xfId="4" applyNumberFormat="1" applyFont="1" applyFill="1" applyBorder="1" applyAlignment="1">
      <alignment vertical="center"/>
    </xf>
    <xf numFmtId="41" fontId="0" fillId="7" borderId="2" xfId="4" applyFont="1" applyFill="1" applyBorder="1" applyAlignment="1">
      <alignment horizontal="center"/>
    </xf>
    <xf numFmtId="41" fontId="0" fillId="12" borderId="9" xfId="4" applyFont="1" applyFill="1" applyBorder="1" applyAlignment="1">
      <alignment horizontal="left"/>
    </xf>
    <xf numFmtId="0" fontId="7" fillId="0" borderId="9" xfId="0" applyFont="1" applyBorder="1"/>
    <xf numFmtId="58" fontId="4" fillId="0" borderId="7" xfId="4" applyNumberFormat="1" applyFont="1" applyFill="1" applyBorder="1" applyAlignment="1">
      <alignment vertical="center"/>
    </xf>
    <xf numFmtId="58" fontId="4" fillId="0" borderId="9" xfId="4" applyNumberFormat="1" applyFont="1" applyFill="1" applyBorder="1" applyAlignment="1">
      <alignment vertical="center"/>
    </xf>
    <xf numFmtId="181" fontId="0" fillId="0" borderId="7" xfId="1" applyNumberFormat="1" applyFont="1" applyFill="1" applyBorder="1" applyAlignment="1">
      <alignment horizontal="center" vertical="center"/>
    </xf>
    <xf numFmtId="0" fontId="44" fillId="0" borderId="8" xfId="0" applyFont="1" applyBorder="1" applyAlignment="1">
      <alignment horizontal="left" vertical="center"/>
    </xf>
    <xf numFmtId="41" fontId="0" fillId="0" borderId="7" xfId="4" applyFont="1" applyFill="1" applyBorder="1" applyAlignment="1">
      <alignment horizontal="left" vertical="center"/>
    </xf>
    <xf numFmtId="181" fontId="4" fillId="0" borderId="20" xfId="1" applyNumberFormat="1" applyFont="1" applyBorder="1" applyAlignment="1">
      <alignment vertical="center"/>
    </xf>
    <xf numFmtId="181" fontId="35" fillId="0" borderId="9" xfId="1" applyNumberFormat="1" applyFont="1" applyBorder="1" applyAlignment="1">
      <alignment horizontal="left" vertical="center"/>
    </xf>
    <xf numFmtId="181" fontId="4" fillId="12" borderId="9" xfId="1" applyNumberFormat="1" applyFont="1" applyFill="1" applyBorder="1" applyAlignment="1">
      <alignment horizontal="left" vertical="center"/>
    </xf>
    <xf numFmtId="0" fontId="44" fillId="0" borderId="8" xfId="0" applyFont="1" applyBorder="1" applyAlignment="1">
      <alignment horizontal="left" vertical="center"/>
    </xf>
    <xf numFmtId="41" fontId="0" fillId="0" borderId="7" xfId="4" applyFont="1" applyFill="1" applyBorder="1" applyAlignment="1">
      <alignment vertical="center"/>
    </xf>
    <xf numFmtId="41" fontId="0" fillId="0" borderId="7" xfId="4" applyFont="1" applyFill="1" applyBorder="1" applyAlignment="1">
      <alignment horizontal="left" vertical="center"/>
    </xf>
    <xf numFmtId="181" fontId="4" fillId="0" borderId="7" xfId="1" applyNumberFormat="1" applyFont="1" applyBorder="1" applyAlignment="1">
      <alignment vertical="center"/>
    </xf>
    <xf numFmtId="181" fontId="4" fillId="0" borderId="7" xfId="1" applyNumberFormat="1" applyFont="1" applyBorder="1" applyAlignment="1">
      <alignment horizontal="center" vertical="center"/>
    </xf>
    <xf numFmtId="181" fontId="0" fillId="0" borderId="7" xfId="1" applyNumberFormat="1" applyFont="1" applyFill="1" applyBorder="1" applyAlignment="1">
      <alignment vertical="center"/>
    </xf>
    <xf numFmtId="181" fontId="4" fillId="0" borderId="20" xfId="1" applyNumberFormat="1" applyFont="1" applyBorder="1" applyAlignment="1">
      <alignment vertical="center"/>
    </xf>
    <xf numFmtId="0" fontId="46" fillId="0" borderId="9" xfId="0" applyFont="1" applyBorder="1" applyAlignment="1">
      <alignment horizontal="left" vertical="center"/>
    </xf>
    <xf numFmtId="0" fontId="46" fillId="7" borderId="9" xfId="0" applyFont="1" applyFill="1" applyBorder="1" applyAlignment="1">
      <alignment vertical="center"/>
    </xf>
    <xf numFmtId="0" fontId="46" fillId="7" borderId="9" xfId="0" applyFont="1" applyFill="1" applyBorder="1"/>
    <xf numFmtId="181" fontId="0" fillId="7" borderId="9" xfId="1" applyNumberFormat="1" applyFont="1" applyFill="1" applyBorder="1"/>
    <xf numFmtId="181" fontId="0" fillId="7" borderId="9" xfId="1" applyNumberFormat="1" applyFont="1" applyFill="1" applyBorder="1" applyAlignment="1">
      <alignment horizontal="left"/>
    </xf>
    <xf numFmtId="0" fontId="46" fillId="7" borderId="9" xfId="0" applyFont="1" applyFill="1" applyBorder="1" applyAlignment="1">
      <alignment horizontal="left" vertical="center"/>
    </xf>
    <xf numFmtId="41" fontId="49" fillId="7" borderId="9" xfId="4" applyFont="1" applyFill="1" applyBorder="1" applyAlignment="1">
      <alignment horizontal="left" vertical="center"/>
    </xf>
    <xf numFmtId="41" fontId="0" fillId="7" borderId="9" xfId="4" applyFont="1" applyFill="1" applyBorder="1" applyAlignment="1">
      <alignment horizontal="center" vertical="top"/>
    </xf>
    <xf numFmtId="41" fontId="0" fillId="7" borderId="9" xfId="4" applyFont="1" applyFill="1" applyBorder="1" applyAlignment="1">
      <alignment horizontal="left" vertical="top"/>
    </xf>
    <xf numFmtId="181" fontId="50" fillId="0" borderId="9" xfId="1" applyNumberFormat="1" applyFont="1" applyFill="1" applyBorder="1" applyAlignment="1">
      <alignment vertical="center"/>
    </xf>
    <xf numFmtId="0" fontId="9" fillId="7" borderId="4" xfId="0" applyFont="1" applyFill="1" applyBorder="1" applyAlignment="1">
      <alignment vertical="center"/>
    </xf>
    <xf numFmtId="41" fontId="7" fillId="7" borderId="7" xfId="4" applyFont="1" applyFill="1" applyBorder="1"/>
    <xf numFmtId="181" fontId="9" fillId="7" borderId="7" xfId="0" applyNumberFormat="1" applyFont="1" applyFill="1" applyBorder="1" applyAlignment="1">
      <alignment horizontal="left" vertical="center"/>
    </xf>
    <xf numFmtId="41" fontId="7" fillId="7" borderId="7" xfId="4" applyFont="1" applyFill="1" applyBorder="1" applyAlignment="1">
      <alignment horizontal="center" vertical="center"/>
    </xf>
    <xf numFmtId="41" fontId="7" fillId="7" borderId="7" xfId="4" applyFont="1" applyFill="1" applyBorder="1" applyAlignment="1">
      <alignment vertical="center"/>
    </xf>
    <xf numFmtId="41" fontId="7" fillId="7" borderId="7" xfId="0" applyNumberFormat="1" applyFont="1" applyFill="1" applyBorder="1" applyAlignment="1">
      <alignment vertical="center"/>
    </xf>
    <xf numFmtId="41" fontId="7" fillId="7" borderId="20" xfId="4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left" vertical="center" wrapText="1"/>
    </xf>
    <xf numFmtId="41" fontId="7" fillId="7" borderId="9" xfId="4" applyFont="1" applyFill="1" applyBorder="1"/>
    <xf numFmtId="181" fontId="9" fillId="7" borderId="9" xfId="0" applyNumberFormat="1" applyFont="1" applyFill="1" applyBorder="1" applyAlignment="1">
      <alignment horizontal="left" vertical="center" wrapText="1"/>
    </xf>
    <xf numFmtId="41" fontId="7" fillId="7" borderId="9" xfId="4" applyFont="1" applyFill="1" applyBorder="1" applyAlignment="1">
      <alignment horizontal="center" vertical="center"/>
    </xf>
    <xf numFmtId="41" fontId="7" fillId="7" borderId="9" xfId="4" applyFont="1" applyFill="1" applyBorder="1" applyAlignment="1">
      <alignment vertical="center"/>
    </xf>
    <xf numFmtId="41" fontId="7" fillId="0" borderId="9" xfId="0" applyNumberFormat="1" applyFont="1" applyBorder="1" applyAlignment="1">
      <alignment vertical="center"/>
    </xf>
    <xf numFmtId="41" fontId="7" fillId="7" borderId="9" xfId="0" applyNumberFormat="1" applyFont="1" applyFill="1" applyBorder="1" applyAlignment="1">
      <alignment vertical="center"/>
    </xf>
    <xf numFmtId="41" fontId="7" fillId="7" borderId="2" xfId="4" applyFont="1" applyFill="1" applyBorder="1" applyAlignment="1">
      <alignment horizontal="center" vertical="center"/>
    </xf>
    <xf numFmtId="41" fontId="7" fillId="7" borderId="9" xfId="4" applyFont="1" applyFill="1" applyBorder="1" applyAlignment="1">
      <alignment horizontal="left" vertical="center"/>
    </xf>
    <xf numFmtId="0" fontId="9" fillId="7" borderId="49" xfId="0" applyFont="1" applyFill="1" applyBorder="1" applyAlignment="1">
      <alignment horizontal="left" vertical="center"/>
    </xf>
    <xf numFmtId="41" fontId="7" fillId="7" borderId="50" xfId="4" applyFont="1" applyFill="1" applyBorder="1"/>
    <xf numFmtId="181" fontId="9" fillId="7" borderId="50" xfId="0" applyNumberFormat="1" applyFont="1" applyFill="1" applyBorder="1" applyAlignment="1">
      <alignment horizontal="left" vertical="center"/>
    </xf>
    <xf numFmtId="41" fontId="7" fillId="7" borderId="50" xfId="4" applyFont="1" applyFill="1" applyBorder="1" applyAlignment="1">
      <alignment horizontal="center" vertical="center"/>
    </xf>
    <xf numFmtId="41" fontId="7" fillId="0" borderId="50" xfId="0" applyNumberFormat="1" applyFont="1" applyBorder="1" applyAlignment="1">
      <alignment vertical="center"/>
    </xf>
    <xf numFmtId="41" fontId="7" fillId="7" borderId="50" xfId="0" applyNumberFormat="1" applyFont="1" applyFill="1" applyBorder="1" applyAlignment="1">
      <alignment vertical="center"/>
    </xf>
    <xf numFmtId="41" fontId="7" fillId="7" borderId="51" xfId="4" applyFont="1" applyFill="1" applyBorder="1" applyAlignment="1">
      <alignment horizontal="center" vertical="center"/>
    </xf>
    <xf numFmtId="41" fontId="0" fillId="7" borderId="50" xfId="4" applyFont="1" applyFill="1" applyBorder="1" applyAlignment="1">
      <alignment horizontal="left"/>
    </xf>
    <xf numFmtId="0" fontId="7" fillId="0" borderId="0" xfId="0" applyFont="1" applyAlignment="1">
      <alignment horizontal="center" vertical="center"/>
    </xf>
    <xf numFmtId="41" fontId="7" fillId="0" borderId="0" xfId="4" applyFont="1" applyAlignment="1">
      <alignment vertical="center"/>
    </xf>
    <xf numFmtId="41" fontId="7" fillId="0" borderId="0" xfId="0" applyNumberFormat="1" applyFont="1" applyAlignment="1">
      <alignment vertical="center"/>
    </xf>
    <xf numFmtId="41" fontId="7" fillId="0" borderId="0" xfId="4" applyFont="1" applyAlignment="1">
      <alignment horizontal="left" vertical="center"/>
    </xf>
    <xf numFmtId="0" fontId="7" fillId="0" borderId="0" xfId="0" applyFont="1" applyAlignment="1">
      <alignment vertical="center"/>
    </xf>
    <xf numFmtId="41" fontId="0" fillId="7" borderId="0" xfId="4" applyFont="1" applyFill="1" applyBorder="1" applyAlignment="1">
      <alignment horizontal="left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0" xfId="0" applyFont="1" applyFill="1" applyAlignment="1">
      <alignment vertical="center"/>
    </xf>
    <xf numFmtId="0" fontId="0" fillId="0" borderId="0" xfId="0" applyFont="1" applyFill="1" applyAlignment="1"/>
    <xf numFmtId="41" fontId="0" fillId="0" borderId="0" xfId="4" applyFont="1" applyAlignment="1">
      <alignment horizontal="left"/>
    </xf>
    <xf numFmtId="41" fontId="0" fillId="0" borderId="0" xfId="4" applyFont="1"/>
    <xf numFmtId="41" fontId="0" fillId="0" borderId="0" xfId="4" applyFont="1" applyAlignment="1">
      <alignment horizontal="left" vertical="center"/>
    </xf>
    <xf numFmtId="41" fontId="0" fillId="0" borderId="0" xfId="4" applyFont="1" applyAlignment="1">
      <alignment horizontal="center"/>
    </xf>
    <xf numFmtId="0" fontId="10" fillId="0" borderId="0" xfId="0" applyFont="1" applyFill="1" applyAlignment="1">
      <alignment horizontal="left"/>
    </xf>
    <xf numFmtId="0" fontId="7" fillId="0" borderId="0" xfId="0" applyFont="1" applyFill="1" applyAlignment="1"/>
    <xf numFmtId="0" fontId="1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41" fontId="10" fillId="0" borderId="0" xfId="4" applyFont="1" applyAlignment="1">
      <alignment horizontal="center"/>
    </xf>
    <xf numFmtId="0" fontId="51" fillId="0" borderId="0" xfId="0" applyFont="1" applyAlignment="1">
      <alignment horizontal="left"/>
    </xf>
    <xf numFmtId="0" fontId="2" fillId="0" borderId="0" xfId="64" applyFont="1"/>
    <xf numFmtId="0" fontId="52" fillId="0" borderId="0" xfId="0" applyFont="1"/>
    <xf numFmtId="0" fontId="2" fillId="0" borderId="0" xfId="64" applyFont="1" applyFill="1"/>
    <xf numFmtId="0" fontId="1" fillId="0" borderId="0" xfId="64" applyFont="1" applyFill="1"/>
    <xf numFmtId="0" fontId="1" fillId="0" borderId="0" xfId="64" applyFont="1" applyFill="1"/>
    <xf numFmtId="0" fontId="1" fillId="0" borderId="0" xfId="64" applyFont="1"/>
    <xf numFmtId="0" fontId="2" fillId="0" borderId="0" xfId="64" applyFont="1"/>
    <xf numFmtId="0" fontId="4" fillId="0" borderId="0" xfId="64"/>
    <xf numFmtId="0" fontId="36" fillId="0" borderId="0" xfId="64" applyFont="1"/>
    <xf numFmtId="0" fontId="7" fillId="0" borderId="0" xfId="64" applyFont="1"/>
    <xf numFmtId="0" fontId="4" fillId="0" borderId="0" xfId="64" applyFont="1"/>
    <xf numFmtId="41" fontId="4" fillId="0" borderId="0" xfId="4" applyFont="1" applyAlignment="1">
      <alignment horizontal="center"/>
    </xf>
    <xf numFmtId="41" fontId="7" fillId="0" borderId="0" xfId="4" applyFont="1" applyAlignment="1"/>
    <xf numFmtId="0" fontId="7" fillId="0" borderId="0" xfId="64" applyFont="1" applyAlignment="1">
      <alignment horizontal="center"/>
    </xf>
    <xf numFmtId="0" fontId="4" fillId="0" borderId="0" xfId="64" applyFont="1" applyAlignment="1">
      <alignment horizontal="center"/>
    </xf>
    <xf numFmtId="0" fontId="39" fillId="10" borderId="9" xfId="64" applyFont="1" applyFill="1" applyBorder="1" applyAlignment="1">
      <alignment horizontal="center" vertical="center"/>
    </xf>
    <xf numFmtId="0" fontId="7" fillId="21" borderId="2" xfId="64" applyFont="1" applyFill="1" applyBorder="1" applyAlignment="1">
      <alignment horizontal="center" vertical="center"/>
    </xf>
    <xf numFmtId="0" fontId="7" fillId="21" borderId="3" xfId="64" applyFont="1" applyFill="1" applyBorder="1" applyAlignment="1">
      <alignment horizontal="center" vertical="center"/>
    </xf>
    <xf numFmtId="0" fontId="7" fillId="21" borderId="4" xfId="64" applyFont="1" applyFill="1" applyBorder="1" applyAlignment="1">
      <alignment horizontal="center" vertical="center"/>
    </xf>
    <xf numFmtId="0" fontId="7" fillId="9" borderId="2" xfId="64" applyFont="1" applyFill="1" applyBorder="1" applyAlignment="1">
      <alignment horizontal="center" vertical="center"/>
    </xf>
    <xf numFmtId="0" fontId="7" fillId="9" borderId="3" xfId="64" applyFont="1" applyFill="1" applyBorder="1" applyAlignment="1">
      <alignment horizontal="center" vertical="center"/>
    </xf>
    <xf numFmtId="0" fontId="4" fillId="9" borderId="3" xfId="64" applyFont="1" applyFill="1" applyBorder="1" applyAlignment="1">
      <alignment horizontal="center" vertical="center"/>
    </xf>
    <xf numFmtId="0" fontId="7" fillId="9" borderId="4" xfId="64" applyFont="1" applyFill="1" applyBorder="1" applyAlignment="1">
      <alignment horizontal="center" vertical="center"/>
    </xf>
    <xf numFmtId="0" fontId="7" fillId="10" borderId="9" xfId="64" applyFont="1" applyFill="1" applyBorder="1" applyAlignment="1">
      <alignment horizontal="center" vertical="center"/>
    </xf>
    <xf numFmtId="0" fontId="39" fillId="21" borderId="9" xfId="64" applyFont="1" applyFill="1" applyBorder="1" applyAlignment="1">
      <alignment horizontal="center" vertical="center" wrapText="1"/>
    </xf>
    <xf numFmtId="0" fontId="39" fillId="21" borderId="9" xfId="64" applyFont="1" applyFill="1" applyBorder="1" applyAlignment="1">
      <alignment horizontal="center" vertical="center"/>
    </xf>
    <xf numFmtId="0" fontId="39" fillId="9" borderId="9" xfId="64" applyFont="1" applyFill="1" applyBorder="1" applyAlignment="1">
      <alignment horizontal="center" vertical="center" wrapText="1"/>
    </xf>
    <xf numFmtId="0" fontId="39" fillId="9" borderId="9" xfId="64" applyFont="1" applyFill="1" applyBorder="1" applyAlignment="1">
      <alignment horizontal="center" vertical="center"/>
    </xf>
    <xf numFmtId="0" fontId="1" fillId="7" borderId="1" xfId="64" applyFont="1" applyFill="1" applyBorder="1" applyAlignment="1">
      <alignment horizontal="center" vertical="center"/>
    </xf>
    <xf numFmtId="0" fontId="1" fillId="7" borderId="9" xfId="64" applyFont="1" applyFill="1" applyBorder="1" applyAlignment="1">
      <alignment horizontal="left" vertical="center"/>
    </xf>
    <xf numFmtId="181" fontId="1" fillId="7" borderId="9" xfId="1" applyNumberFormat="1" applyFont="1" applyFill="1" applyBorder="1" applyAlignment="1">
      <alignment horizontal="center" vertical="center"/>
    </xf>
    <xf numFmtId="181" fontId="2" fillId="7" borderId="3" xfId="1" applyNumberFormat="1" applyFont="1" applyFill="1" applyBorder="1" applyAlignment="1">
      <alignment horizontal="center" vertical="center"/>
    </xf>
    <xf numFmtId="181" fontId="1" fillId="7" borderId="3" xfId="1" applyNumberFormat="1" applyFont="1" applyFill="1" applyBorder="1" applyAlignment="1">
      <alignment horizontal="center" vertical="center"/>
    </xf>
    <xf numFmtId="181" fontId="5" fillId="0" borderId="45" xfId="1" applyNumberFormat="1" applyFont="1" applyFill="1" applyBorder="1" applyAlignment="1">
      <alignment horizontal="center"/>
    </xf>
    <xf numFmtId="181" fontId="2" fillId="0" borderId="0" xfId="64" applyNumberFormat="1" applyFont="1"/>
    <xf numFmtId="0" fontId="1" fillId="7" borderId="6" xfId="64" applyFont="1" applyFill="1" applyBorder="1" applyAlignment="1">
      <alignment horizontal="center" vertical="center"/>
    </xf>
    <xf numFmtId="0" fontId="2" fillId="7" borderId="9" xfId="64" applyFont="1" applyFill="1" applyBorder="1" applyAlignment="1">
      <alignment horizontal="left" vertical="center"/>
    </xf>
    <xf numFmtId="181" fontId="2" fillId="7" borderId="9" xfId="1" applyNumberFormat="1" applyFont="1" applyFill="1" applyBorder="1" applyAlignment="1">
      <alignment horizontal="center" vertical="center"/>
    </xf>
    <xf numFmtId="181" fontId="5" fillId="0" borderId="9" xfId="1" applyNumberFormat="1" applyFont="1" applyFill="1" applyBorder="1" applyAlignment="1">
      <alignment horizontal="center"/>
    </xf>
    <xf numFmtId="0" fontId="52" fillId="0" borderId="0" xfId="0" applyFont="1"/>
    <xf numFmtId="181" fontId="2" fillId="0" borderId="9" xfId="1" applyNumberFormat="1" applyFont="1" applyFill="1" applyBorder="1" applyAlignment="1">
      <alignment vertical="center"/>
    </xf>
    <xf numFmtId="181" fontId="52" fillId="0" borderId="9" xfId="1" applyNumberFormat="1" applyFont="1" applyFill="1" applyBorder="1" applyAlignment="1">
      <alignment vertical="center"/>
    </xf>
    <xf numFmtId="181" fontId="1" fillId="0" borderId="9" xfId="1" applyNumberFormat="1" applyFont="1" applyFill="1" applyBorder="1" applyAlignment="1">
      <alignment vertical="center"/>
    </xf>
    <xf numFmtId="181" fontId="52" fillId="0" borderId="0" xfId="1" applyNumberFormat="1" applyFont="1"/>
    <xf numFmtId="181" fontId="6" fillId="0" borderId="0" xfId="64" applyNumberFormat="1" applyFont="1"/>
    <xf numFmtId="0" fontId="2" fillId="12" borderId="9" xfId="0" applyFont="1" applyFill="1" applyBorder="1" applyAlignment="1">
      <alignment vertical="center"/>
    </xf>
    <xf numFmtId="181" fontId="2" fillId="12" borderId="9" xfId="1" applyNumberFormat="1" applyFont="1" applyFill="1" applyBorder="1" applyAlignment="1">
      <alignment vertical="center"/>
    </xf>
    <xf numFmtId="181" fontId="52" fillId="12" borderId="9" xfId="1" applyNumberFormat="1" applyFont="1" applyFill="1" applyBorder="1" applyAlignment="1">
      <alignment vertical="center"/>
    </xf>
    <xf numFmtId="181" fontId="1" fillId="12" borderId="9" xfId="1" applyNumberFormat="1" applyFont="1" applyFill="1" applyBorder="1" applyAlignment="1">
      <alignment horizontal="center" vertical="center"/>
    </xf>
    <xf numFmtId="181" fontId="1" fillId="12" borderId="9" xfId="1" applyNumberFormat="1" applyFont="1" applyFill="1" applyBorder="1" applyAlignment="1">
      <alignment vertical="center"/>
    </xf>
    <xf numFmtId="181" fontId="5" fillId="12" borderId="9" xfId="1" applyNumberFormat="1" applyFont="1" applyFill="1" applyBorder="1" applyAlignment="1">
      <alignment horizontal="center"/>
    </xf>
    <xf numFmtId="181" fontId="52" fillId="0" borderId="0" xfId="1" applyNumberFormat="1" applyFont="1" applyBorder="1"/>
    <xf numFmtId="181" fontId="2" fillId="0" borderId="0" xfId="1" applyNumberFormat="1" applyFont="1" applyAlignment="1">
      <alignment horizontal="center"/>
    </xf>
    <xf numFmtId="0" fontId="2" fillId="12" borderId="9" xfId="0" applyFont="1" applyFill="1" applyBorder="1" applyAlignment="1">
      <alignment horizontal="left" vertical="center"/>
    </xf>
    <xf numFmtId="181" fontId="5" fillId="12" borderId="9" xfId="1" applyNumberFormat="1" applyFont="1" applyFill="1" applyBorder="1" applyAlignment="1">
      <alignment vertical="center"/>
    </xf>
    <xf numFmtId="181" fontId="52" fillId="0" borderId="0" xfId="1" applyNumberFormat="1" applyFont="1" applyFill="1"/>
    <xf numFmtId="181" fontId="2" fillId="0" borderId="0" xfId="64" applyNumberFormat="1" applyFont="1" applyFill="1"/>
    <xf numFmtId="0" fontId="2" fillId="12" borderId="9" xfId="64" applyFont="1" applyFill="1" applyBorder="1" applyAlignment="1">
      <alignment vertical="center"/>
    </xf>
    <xf numFmtId="58" fontId="2" fillId="0" borderId="9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81" fontId="1" fillId="0" borderId="9" xfId="1" applyNumberFormat="1" applyFont="1" applyFill="1" applyBorder="1" applyAlignment="1">
      <alignment horizontal="center" vertical="center"/>
    </xf>
    <xf numFmtId="181" fontId="5" fillId="0" borderId="9" xfId="1" applyNumberFormat="1" applyFont="1" applyFill="1" applyBorder="1" applyAlignment="1">
      <alignment vertical="center"/>
    </xf>
    <xf numFmtId="0" fontId="2" fillId="0" borderId="9" xfId="64" applyFont="1" applyFill="1" applyBorder="1" applyAlignment="1">
      <alignment vertical="center"/>
    </xf>
    <xf numFmtId="0" fontId="2" fillId="0" borderId="9" xfId="64" applyFont="1" applyFill="1" applyBorder="1"/>
    <xf numFmtId="0" fontId="2" fillId="0" borderId="9" xfId="64" applyFont="1" applyFill="1" applyBorder="1"/>
    <xf numFmtId="181" fontId="2" fillId="0" borderId="9" xfId="1" applyNumberFormat="1" applyFont="1" applyFill="1" applyBorder="1" applyAlignment="1" applyProtection="1"/>
    <xf numFmtId="183" fontId="2" fillId="0" borderId="9" xfId="1" applyNumberFormat="1" applyFont="1" applyFill="1" applyBorder="1" applyAlignment="1">
      <alignment vertical="center"/>
    </xf>
    <xf numFmtId="0" fontId="2" fillId="0" borderId="4" xfId="64" applyFont="1" applyFill="1" applyBorder="1" applyAlignment="1">
      <alignment vertical="center"/>
    </xf>
    <xf numFmtId="58" fontId="2" fillId="0" borderId="9" xfId="0" applyNumberFormat="1" applyFont="1" applyFill="1" applyBorder="1" applyAlignment="1">
      <alignment vertical="center"/>
    </xf>
    <xf numFmtId="181" fontId="52" fillId="0" borderId="9" xfId="1" applyNumberFormat="1" applyFont="1" applyFill="1" applyBorder="1"/>
    <xf numFmtId="58" fontId="2" fillId="0" borderId="7" xfId="0" applyNumberFormat="1" applyFont="1" applyFill="1" applyBorder="1" applyAlignment="1">
      <alignment vertical="center"/>
    </xf>
    <xf numFmtId="58" fontId="2" fillId="0" borderId="1" xfId="0" applyNumberFormat="1" applyFont="1" applyFill="1" applyBorder="1" applyAlignment="1">
      <alignment horizontal="center" vertical="center"/>
    </xf>
    <xf numFmtId="58" fontId="2" fillId="0" borderId="6" xfId="0" applyNumberFormat="1" applyFont="1" applyFill="1" applyBorder="1" applyAlignment="1">
      <alignment horizontal="center" vertical="center"/>
    </xf>
    <xf numFmtId="181" fontId="1" fillId="0" borderId="0" xfId="64" applyNumberFormat="1" applyFont="1" applyFill="1"/>
    <xf numFmtId="0" fontId="2" fillId="0" borderId="9" xfId="0" applyFont="1" applyFill="1" applyBorder="1" applyAlignment="1">
      <alignment horizontal="left" vertical="center"/>
    </xf>
    <xf numFmtId="58" fontId="2" fillId="0" borderId="7" xfId="0" applyNumberFormat="1" applyFont="1" applyFill="1" applyBorder="1" applyAlignment="1">
      <alignment horizontal="center" vertical="center"/>
    </xf>
    <xf numFmtId="0" fontId="2" fillId="0" borderId="1" xfId="64" applyFont="1" applyFill="1" applyBorder="1" applyAlignment="1">
      <alignment horizontal="center" vertical="center"/>
    </xf>
    <xf numFmtId="0" fontId="2" fillId="0" borderId="6" xfId="64" applyFont="1" applyFill="1" applyBorder="1" applyAlignment="1">
      <alignment horizontal="center" vertical="center"/>
    </xf>
    <xf numFmtId="0" fontId="2" fillId="0" borderId="7" xfId="64" applyFont="1" applyFill="1" applyBorder="1" applyAlignment="1">
      <alignment horizontal="center" vertical="center"/>
    </xf>
    <xf numFmtId="181" fontId="6" fillId="12" borderId="9" xfId="1" applyNumberFormat="1" applyFont="1" applyFill="1" applyBorder="1" applyAlignment="1">
      <alignment vertical="center"/>
    </xf>
    <xf numFmtId="0" fontId="2" fillId="0" borderId="9" xfId="64" applyFont="1" applyFill="1" applyBorder="1" applyAlignment="1">
      <alignment horizontal="center" vertical="center"/>
    </xf>
    <xf numFmtId="181" fontId="6" fillId="0" borderId="9" xfId="1" applyNumberFormat="1" applyFont="1" applyFill="1" applyBorder="1" applyAlignment="1">
      <alignment vertical="center"/>
    </xf>
    <xf numFmtId="0" fontId="2" fillId="0" borderId="7" xfId="64" applyFont="1" applyFill="1" applyBorder="1" applyAlignment="1">
      <alignment vertical="center"/>
    </xf>
    <xf numFmtId="0" fontId="2" fillId="0" borderId="9" xfId="64" applyFont="1" applyFill="1" applyBorder="1" applyAlignment="1">
      <alignment vertical="center"/>
    </xf>
    <xf numFmtId="0" fontId="2" fillId="0" borderId="9" xfId="64" applyFont="1" applyFill="1" applyBorder="1" applyAlignment="1">
      <alignment vertical="center"/>
    </xf>
    <xf numFmtId="181" fontId="2" fillId="0" borderId="9" xfId="1" applyNumberFormat="1" applyFont="1" applyFill="1" applyBorder="1" applyAlignment="1">
      <alignment vertical="center"/>
    </xf>
    <xf numFmtId="181" fontId="6" fillId="0" borderId="9" xfId="1" applyNumberFormat="1" applyFont="1" applyFill="1" applyBorder="1" applyAlignment="1">
      <alignment vertical="center"/>
    </xf>
    <xf numFmtId="181" fontId="1" fillId="0" borderId="0" xfId="64" applyNumberFormat="1" applyFont="1" applyFill="1"/>
    <xf numFmtId="181" fontId="1" fillId="0" borderId="0" xfId="64" applyNumberFormat="1" applyFont="1"/>
    <xf numFmtId="0" fontId="2" fillId="0" borderId="9" xfId="64" applyFont="1" applyBorder="1" applyAlignment="1">
      <alignment horizontal="center" vertical="center"/>
    </xf>
    <xf numFmtId="181" fontId="2" fillId="0" borderId="0" xfId="64" applyNumberFormat="1" applyFont="1"/>
    <xf numFmtId="0" fontId="2" fillId="0" borderId="9" xfId="64" applyFont="1" applyBorder="1" applyAlignment="1">
      <alignment vertical="center"/>
    </xf>
    <xf numFmtId="0" fontId="2" fillId="0" borderId="6" xfId="64" applyFont="1" applyBorder="1" applyAlignment="1">
      <alignment horizontal="center" vertical="center"/>
    </xf>
    <xf numFmtId="181" fontId="2" fillId="0" borderId="9" xfId="64" applyNumberFormat="1" applyFont="1" applyFill="1" applyBorder="1" applyAlignment="1">
      <alignment vertical="center"/>
    </xf>
    <xf numFmtId="0" fontId="3" fillId="0" borderId="9" xfId="64" applyFont="1" applyFill="1" applyBorder="1" applyAlignment="1">
      <alignment vertical="center"/>
    </xf>
    <xf numFmtId="0" fontId="2" fillId="0" borderId="7" xfId="64" applyFont="1" applyBorder="1" applyAlignment="1">
      <alignment horizontal="center" vertical="center"/>
    </xf>
    <xf numFmtId="0" fontId="1" fillId="0" borderId="9" xfId="64" applyFont="1" applyBorder="1" applyAlignment="1">
      <alignment vertical="center"/>
    </xf>
    <xf numFmtId="0" fontId="1" fillId="0" borderId="9" xfId="64" applyFont="1" applyFill="1" applyBorder="1" applyAlignment="1">
      <alignment vertical="center"/>
    </xf>
    <xf numFmtId="0" fontId="36" fillId="0" borderId="0" xfId="64" applyFont="1" applyAlignment="1">
      <alignment vertical="center"/>
    </xf>
    <xf numFmtId="181" fontId="0" fillId="0" borderId="0" xfId="1" applyNumberFormat="1" applyFont="1" applyBorder="1" applyAlignment="1">
      <alignment vertical="center"/>
    </xf>
    <xf numFmtId="181" fontId="7" fillId="0" borderId="0" xfId="1" applyNumberFormat="1" applyFont="1" applyBorder="1" applyAlignment="1">
      <alignment vertical="center"/>
    </xf>
    <xf numFmtId="181" fontId="4" fillId="0" borderId="0" xfId="1" applyNumberFormat="1" applyFont="1" applyBorder="1" applyAlignment="1">
      <alignment vertical="center"/>
    </xf>
    <xf numFmtId="181" fontId="4" fillId="0" borderId="0" xfId="64" applyNumberFormat="1"/>
    <xf numFmtId="181" fontId="0" fillId="0" borderId="0" xfId="1" applyNumberFormat="1" applyFont="1" applyAlignment="1">
      <alignment vertical="center"/>
    </xf>
    <xf numFmtId="181" fontId="7" fillId="0" borderId="0" xfId="1" applyNumberFormat="1" applyFont="1" applyAlignment="1">
      <alignment vertical="center"/>
    </xf>
    <xf numFmtId="181" fontId="4" fillId="0" borderId="0" xfId="1" applyNumberFormat="1" applyFont="1" applyAlignment="1">
      <alignment vertical="center"/>
    </xf>
    <xf numFmtId="181" fontId="4" fillId="0" borderId="0" xfId="64" applyNumberFormat="1" applyAlignment="1">
      <alignment horizontal="center"/>
    </xf>
    <xf numFmtId="0" fontId="4" fillId="0" borderId="0" xfId="64" applyAlignment="1">
      <alignment horizontal="center"/>
    </xf>
    <xf numFmtId="181" fontId="7" fillId="0" borderId="0" xfId="1" applyNumberFormat="1" applyFont="1" applyFill="1" applyBorder="1" applyAlignment="1" applyProtection="1"/>
    <xf numFmtId="0" fontId="10" fillId="0" borderId="0" xfId="64" applyFont="1"/>
    <xf numFmtId="0" fontId="53" fillId="0" borderId="0" xfId="64" applyFont="1" applyAlignment="1">
      <alignment horizontal="center"/>
    </xf>
    <xf numFmtId="0" fontId="10" fillId="0" borderId="0" xfId="64" applyFont="1" applyAlignment="1">
      <alignment horizontal="center"/>
    </xf>
    <xf numFmtId="0" fontId="36" fillId="0" borderId="0" xfId="64" applyFont="1" applyAlignment="1">
      <alignment horizontal="center"/>
    </xf>
    <xf numFmtId="9" fontId="10" fillId="0" borderId="0" xfId="64" applyNumberFormat="1" applyFont="1" applyAlignment="1">
      <alignment horizontal="center"/>
    </xf>
    <xf numFmtId="9" fontId="51" fillId="0" borderId="0" xfId="64" applyNumberFormat="1" applyFont="1" applyAlignment="1">
      <alignment horizontal="center"/>
    </xf>
    <xf numFmtId="9" fontId="36" fillId="0" borderId="0" xfId="64" applyNumberFormat="1" applyFont="1" applyAlignment="1">
      <alignment horizontal="center"/>
    </xf>
    <xf numFmtId="9" fontId="39" fillId="0" borderId="0" xfId="64" applyNumberFormat="1" applyFont="1" applyAlignment="1">
      <alignment horizontal="center"/>
    </xf>
    <xf numFmtId="181" fontId="4" fillId="0" borderId="0" xfId="64" applyNumberFormat="1" applyFont="1"/>
    <xf numFmtId="181" fontId="7" fillId="0" borderId="0" xfId="64" applyNumberFormat="1" applyFont="1"/>
    <xf numFmtId="0" fontId="7" fillId="9" borderId="9" xfId="0" applyFont="1" applyFill="1" applyBorder="1" applyAlignment="1">
      <alignment horizontal="center"/>
    </xf>
    <xf numFmtId="0" fontId="7" fillId="9" borderId="9" xfId="0" applyFont="1" applyFill="1" applyBorder="1"/>
    <xf numFmtId="176" fontId="0" fillId="0" borderId="0" xfId="5" applyFont="1" applyAlignment="1"/>
    <xf numFmtId="186" fontId="44" fillId="0" borderId="9" xfId="0" applyNumberFormat="1" applyFont="1" applyBorder="1"/>
    <xf numFmtId="181" fontId="0" fillId="0" borderId="0" xfId="1" applyNumberFormat="1" applyFont="1" applyAlignment="1"/>
    <xf numFmtId="186" fontId="0" fillId="0" borderId="0" xfId="0" applyNumberFormat="1"/>
    <xf numFmtId="186" fontId="54" fillId="0" borderId="9" xfId="68" applyNumberFormat="1" applyFont="1" applyBorder="1"/>
    <xf numFmtId="186" fontId="7" fillId="0" borderId="9" xfId="0" applyNumberFormat="1" applyFont="1" applyBorder="1"/>
    <xf numFmtId="187" fontId="0" fillId="0" borderId="0" xfId="0" applyNumberFormat="1"/>
    <xf numFmtId="186" fontId="7" fillId="0" borderId="9" xfId="4" applyNumberFormat="1" applyFont="1" applyBorder="1"/>
    <xf numFmtId="0" fontId="4" fillId="0" borderId="9" xfId="0" applyFont="1" applyBorder="1"/>
    <xf numFmtId="176" fontId="7" fillId="0" borderId="9" xfId="5" applyFont="1" applyBorder="1" applyAlignment="1"/>
    <xf numFmtId="181" fontId="7" fillId="0" borderId="0" xfId="1" applyNumberFormat="1" applyFont="1" applyBorder="1" applyAlignment="1"/>
    <xf numFmtId="186" fontId="7" fillId="22" borderId="9" xfId="0" applyNumberFormat="1" applyFont="1" applyFill="1" applyBorder="1"/>
    <xf numFmtId="0" fontId="7" fillId="0" borderId="9" xfId="0" applyFont="1" applyBorder="1" applyAlignment="1">
      <alignment horizontal="center"/>
    </xf>
    <xf numFmtId="181" fontId="35" fillId="0" borderId="0" xfId="1" applyNumberFormat="1" applyFont="1"/>
    <xf numFmtId="181" fontId="0" fillId="0" borderId="0" xfId="1" applyNumberFormat="1" applyFont="1" applyAlignment="1">
      <alignment horizontal="center" vertical="center"/>
    </xf>
    <xf numFmtId="181" fontId="0" fillId="0" borderId="0" xfId="1" applyNumberFormat="1" applyFont="1" applyAlignment="1">
      <alignment horizontal="left"/>
    </xf>
    <xf numFmtId="186" fontId="0" fillId="0" borderId="0" xfId="0" applyNumberFormat="1" applyAlignment="1">
      <alignment horizontal="left"/>
    </xf>
    <xf numFmtId="9" fontId="0" fillId="0" borderId="0" xfId="0" applyNumberFormat="1" applyAlignment="1">
      <alignment horizontal="center" vertical="center"/>
    </xf>
    <xf numFmtId="186" fontId="0" fillId="0" borderId="0" xfId="0" applyNumberFormat="1" applyFont="1" applyFill="1" applyBorder="1" applyAlignment="1" applyProtection="1">
      <alignment horizontal="center" vertical="center"/>
    </xf>
    <xf numFmtId="186" fontId="7" fillId="7" borderId="9" xfId="0" applyNumberFormat="1" applyFont="1" applyFill="1" applyBorder="1"/>
    <xf numFmtId="0" fontId="9" fillId="0" borderId="0" xfId="0" applyFont="1"/>
    <xf numFmtId="0" fontId="10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7" fillId="0" borderId="0" xfId="68" applyFont="1" applyAlignment="1">
      <alignment horizontal="center" vertical="center"/>
    </xf>
    <xf numFmtId="0" fontId="7" fillId="0" borderId="0" xfId="68" applyFont="1" applyAlignment="1">
      <alignment vertical="center"/>
    </xf>
    <xf numFmtId="0" fontId="4" fillId="0" borderId="0" xfId="68" applyAlignment="1">
      <alignment horizontal="left"/>
    </xf>
    <xf numFmtId="0" fontId="7" fillId="9" borderId="9" xfId="68" applyFont="1" applyFill="1" applyBorder="1" applyAlignment="1">
      <alignment horizontal="center"/>
    </xf>
    <xf numFmtId="0" fontId="7" fillId="9" borderId="9" xfId="68" applyFont="1" applyFill="1" applyBorder="1"/>
    <xf numFmtId="0" fontId="7" fillId="7" borderId="0" xfId="68" applyFont="1" applyFill="1"/>
    <xf numFmtId="181" fontId="0" fillId="0" borderId="0" xfId="61" applyNumberFormat="1" applyFont="1" applyAlignment="1"/>
    <xf numFmtId="1" fontId="4" fillId="0" borderId="0" xfId="68" applyNumberFormat="1"/>
    <xf numFmtId="0" fontId="7" fillId="0" borderId="9" xfId="68" applyFont="1" applyBorder="1"/>
    <xf numFmtId="0" fontId="4" fillId="0" borderId="9" xfId="68" applyBorder="1"/>
    <xf numFmtId="176" fontId="0" fillId="0" borderId="0" xfId="62" applyFont="1" applyAlignment="1"/>
    <xf numFmtId="186" fontId="44" fillId="0" borderId="9" xfId="68" applyNumberFormat="1" applyFont="1" applyBorder="1"/>
    <xf numFmtId="181" fontId="0" fillId="0" borderId="0" xfId="61" applyNumberFormat="1" applyFont="1"/>
    <xf numFmtId="41" fontId="0" fillId="0" borderId="0" xfId="53" applyFont="1" applyAlignment="1"/>
    <xf numFmtId="186" fontId="7" fillId="0" borderId="9" xfId="68" applyNumberFormat="1" applyFont="1" applyBorder="1"/>
    <xf numFmtId="187" fontId="7" fillId="0" borderId="9" xfId="61" applyNumberFormat="1" applyFont="1" applyBorder="1"/>
    <xf numFmtId="186" fontId="7" fillId="0" borderId="9" xfId="53" applyNumberFormat="1" applyFont="1" applyBorder="1"/>
    <xf numFmtId="176" fontId="7" fillId="0" borderId="9" xfId="62" applyFont="1" applyBorder="1" applyAlignment="1"/>
    <xf numFmtId="41" fontId="7" fillId="0" borderId="0" xfId="53" applyFont="1" applyBorder="1" applyAlignment="1"/>
    <xf numFmtId="186" fontId="7" fillId="23" borderId="9" xfId="68" applyNumberFormat="1" applyFont="1" applyFill="1" applyBorder="1"/>
    <xf numFmtId="41" fontId="0" fillId="0" borderId="0" xfId="53" applyFont="1" applyBorder="1" applyAlignment="1"/>
    <xf numFmtId="41" fontId="0" fillId="0" borderId="0" xfId="53" applyFont="1" applyFill="1" applyBorder="1" applyAlignment="1">
      <alignment horizontal="center"/>
    </xf>
    <xf numFmtId="0" fontId="7" fillId="0" borderId="9" xfId="68" applyFont="1" applyBorder="1" applyAlignment="1">
      <alignment horizontal="center"/>
    </xf>
    <xf numFmtId="9" fontId="0" fillId="0" borderId="0" xfId="62" applyNumberFormat="1" applyFont="1" applyAlignment="1">
      <alignment horizontal="center" vertical="center"/>
    </xf>
    <xf numFmtId="9" fontId="35" fillId="0" borderId="0" xfId="68" applyNumberFormat="1" applyFont="1" applyAlignment="1">
      <alignment horizontal="center" vertical="center"/>
    </xf>
    <xf numFmtId="9" fontId="4" fillId="0" borderId="0" xfId="68" applyNumberFormat="1" applyAlignment="1">
      <alignment horizontal="center" vertical="center"/>
    </xf>
    <xf numFmtId="41" fontId="0" fillId="0" borderId="0" xfId="53" applyFont="1" applyAlignment="1">
      <alignment horizontal="center"/>
    </xf>
    <xf numFmtId="41" fontId="9" fillId="0" borderId="0" xfId="68" applyNumberFormat="1" applyFont="1"/>
    <xf numFmtId="176" fontId="4" fillId="0" borderId="0" xfId="68" applyNumberFormat="1"/>
    <xf numFmtId="41" fontId="0" fillId="0" borderId="0" xfId="53" applyFont="1"/>
    <xf numFmtId="176" fontId="46" fillId="0" borderId="0" xfId="68" applyNumberFormat="1" applyFont="1"/>
    <xf numFmtId="176" fontId="55" fillId="0" borderId="0" xfId="62" applyFont="1" applyAlignment="1"/>
    <xf numFmtId="176" fontId="35" fillId="0" borderId="0" xfId="68" applyNumberFormat="1" applyFont="1"/>
    <xf numFmtId="176" fontId="55" fillId="0" borderId="0" xfId="68" applyNumberFormat="1" applyFont="1" applyAlignment="1">
      <alignment horizontal="left"/>
    </xf>
    <xf numFmtId="41" fontId="35" fillId="0" borderId="0" xfId="53" applyFont="1"/>
    <xf numFmtId="41" fontId="7" fillId="0" borderId="0" xfId="68" applyNumberFormat="1" applyFont="1"/>
    <xf numFmtId="43" fontId="4" fillId="0" borderId="0" xfId="1" applyFont="1" applyFill="1" applyBorder="1" applyAlignment="1" applyProtection="1"/>
    <xf numFmtId="9" fontId="4" fillId="0" borderId="0" xfId="68" applyNumberFormat="1"/>
    <xf numFmtId="186" fontId="7" fillId="7" borderId="9" xfId="68" applyNumberFormat="1" applyFont="1" applyFill="1" applyBorder="1"/>
    <xf numFmtId="43" fontId="4" fillId="0" borderId="0" xfId="68" applyNumberFormat="1"/>
    <xf numFmtId="176" fontId="55" fillId="0" borderId="9" xfId="68" applyNumberFormat="1" applyFont="1" applyBorder="1"/>
    <xf numFmtId="9" fontId="4" fillId="0" borderId="0" xfId="68" applyNumberFormat="1" applyAlignment="1">
      <alignment horizontal="center"/>
    </xf>
    <xf numFmtId="181" fontId="4" fillId="0" borderId="0" xfId="68" applyNumberFormat="1"/>
    <xf numFmtId="0" fontId="9" fillId="0" borderId="0" xfId="68" applyFont="1"/>
    <xf numFmtId="176" fontId="0" fillId="0" borderId="0" xfId="62" applyFont="1"/>
    <xf numFmtId="176" fontId="7" fillId="0" borderId="0" xfId="68" applyNumberFormat="1" applyFont="1"/>
    <xf numFmtId="0" fontId="0" fillId="0" borderId="0" xfId="0" applyAlignment="1">
      <alignment vertical="center"/>
    </xf>
    <xf numFmtId="0" fontId="56" fillId="0" borderId="0" xfId="0" applyFont="1" applyAlignment="1">
      <alignment vertical="center"/>
    </xf>
    <xf numFmtId="181" fontId="54" fillId="0" borderId="0" xfId="1" applyNumberFormat="1" applyFont="1"/>
    <xf numFmtId="0" fontId="4" fillId="0" borderId="0" xfId="0" applyFont="1" applyAlignment="1">
      <alignment horizontal="left" vertical="center"/>
    </xf>
    <xf numFmtId="181" fontId="54" fillId="0" borderId="0" xfId="1" applyNumberFormat="1" applyFont="1" applyAlignment="1">
      <alignment vertical="center"/>
    </xf>
    <xf numFmtId="181" fontId="0" fillId="0" borderId="0" xfId="1" applyNumberFormat="1" applyFont="1" applyAlignment="1">
      <alignment horizontal="left" vertical="center"/>
    </xf>
    <xf numFmtId="186" fontId="0" fillId="0" borderId="0" xfId="0" applyNumberFormat="1" applyAlignment="1">
      <alignment vertical="center"/>
    </xf>
    <xf numFmtId="41" fontId="0" fillId="0" borderId="0" xfId="4" applyFont="1" applyAlignment="1">
      <alignment vertical="center"/>
    </xf>
    <xf numFmtId="0" fontId="57" fillId="9" borderId="38" xfId="0" applyFont="1" applyFill="1" applyBorder="1" applyAlignment="1">
      <alignment horizontal="center" vertical="center"/>
    </xf>
    <xf numFmtId="0" fontId="57" fillId="9" borderId="39" xfId="0" applyFont="1" applyFill="1" applyBorder="1" applyAlignment="1">
      <alignment horizontal="center" vertical="center"/>
    </xf>
    <xf numFmtId="0" fontId="57" fillId="9" borderId="40" xfId="0" applyFont="1" applyFill="1" applyBorder="1" applyAlignment="1">
      <alignment horizontal="center" vertical="center"/>
    </xf>
    <xf numFmtId="181" fontId="57" fillId="9" borderId="38" xfId="1" applyNumberFormat="1" applyFont="1" applyFill="1" applyBorder="1" applyAlignment="1">
      <alignment horizontal="center" vertical="center"/>
    </xf>
    <xf numFmtId="181" fontId="57" fillId="9" borderId="39" xfId="1" applyNumberFormat="1" applyFont="1" applyFill="1" applyBorder="1" applyAlignment="1">
      <alignment horizontal="center" vertical="center"/>
    </xf>
    <xf numFmtId="181" fontId="57" fillId="9" borderId="40" xfId="1" applyNumberFormat="1" applyFont="1" applyFill="1" applyBorder="1" applyAlignment="1">
      <alignment horizontal="center" vertical="center"/>
    </xf>
    <xf numFmtId="41" fontId="56" fillId="0" borderId="0" xfId="4" applyFont="1" applyBorder="1" applyAlignment="1">
      <alignment horizontal="left" vertical="center"/>
    </xf>
    <xf numFmtId="41" fontId="58" fillId="0" borderId="0" xfId="4" applyFont="1" applyAlignment="1">
      <alignment vertical="center"/>
    </xf>
    <xf numFmtId="41" fontId="56" fillId="0" borderId="0" xfId="0" applyNumberFormat="1" applyFont="1" applyAlignment="1">
      <alignment horizontal="left" vertical="center"/>
    </xf>
    <xf numFmtId="41" fontId="56" fillId="0" borderId="0" xfId="4" applyFont="1" applyAlignment="1">
      <alignment vertical="center"/>
    </xf>
    <xf numFmtId="41" fontId="56" fillId="0" borderId="0" xfId="0" applyNumberFormat="1" applyFont="1" applyAlignment="1">
      <alignment vertical="center"/>
    </xf>
    <xf numFmtId="186" fontId="56" fillId="0" borderId="0" xfId="0" applyNumberFormat="1" applyFont="1" applyAlignment="1">
      <alignment vertical="center"/>
    </xf>
    <xf numFmtId="0" fontId="57" fillId="0" borderId="17" xfId="0" applyFont="1" applyBorder="1" applyAlignment="1">
      <alignment horizontal="left" vertical="center"/>
    </xf>
    <xf numFmtId="0" fontId="57" fillId="0" borderId="19" xfId="0" applyFont="1" applyBorder="1" applyAlignment="1">
      <alignment vertical="center"/>
    </xf>
    <xf numFmtId="0" fontId="56" fillId="0" borderId="19" xfId="0" applyFont="1" applyBorder="1" applyAlignment="1">
      <alignment horizontal="center" vertical="center"/>
    </xf>
    <xf numFmtId="181" fontId="56" fillId="0" borderId="19" xfId="1" applyNumberFormat="1" applyFont="1" applyBorder="1" applyAlignment="1">
      <alignment horizontal="center" vertical="center"/>
    </xf>
    <xf numFmtId="181" fontId="59" fillId="0" borderId="52" xfId="1" applyNumberFormat="1" applyFont="1" applyBorder="1" applyAlignment="1">
      <alignment horizontal="center" vertical="center"/>
    </xf>
    <xf numFmtId="181" fontId="57" fillId="0" borderId="17" xfId="1" applyNumberFormat="1" applyFont="1" applyBorder="1" applyAlignment="1">
      <alignment horizontal="left" vertical="center"/>
    </xf>
    <xf numFmtId="181" fontId="57" fillId="0" borderId="19" xfId="1" applyNumberFormat="1" applyFont="1" applyBorder="1" applyAlignment="1">
      <alignment vertical="center"/>
    </xf>
    <xf numFmtId="181" fontId="56" fillId="0" borderId="52" xfId="1" applyNumberFormat="1" applyFont="1" applyBorder="1" applyAlignment="1">
      <alignment horizontal="center" vertical="center"/>
    </xf>
    <xf numFmtId="41" fontId="56" fillId="0" borderId="0" xfId="4" applyFont="1" applyBorder="1" applyAlignment="1">
      <alignment vertical="center"/>
    </xf>
    <xf numFmtId="41" fontId="59" fillId="0" borderId="0" xfId="4" applyFont="1" applyAlignment="1">
      <alignment vertical="center"/>
    </xf>
    <xf numFmtId="176" fontId="56" fillId="0" borderId="0" xfId="0" applyNumberFormat="1" applyFont="1" applyAlignment="1">
      <alignment vertical="center"/>
    </xf>
    <xf numFmtId="41" fontId="60" fillId="0" borderId="0" xfId="0" applyNumberFormat="1" applyFont="1" applyAlignment="1">
      <alignment vertical="center"/>
    </xf>
    <xf numFmtId="41" fontId="58" fillId="0" borderId="0" xfId="4" applyFont="1" applyBorder="1" applyAlignment="1">
      <alignment vertical="center"/>
    </xf>
    <xf numFmtId="0" fontId="57" fillId="0" borderId="16" xfId="0" applyFont="1" applyBorder="1" applyAlignment="1">
      <alignment horizontal="left" vertical="center"/>
    </xf>
    <xf numFmtId="0" fontId="57" fillId="0" borderId="7" xfId="0" applyFont="1" applyBorder="1" applyAlignment="1">
      <alignment vertical="center"/>
    </xf>
    <xf numFmtId="0" fontId="56" fillId="0" borderId="7" xfId="0" applyFont="1" applyBorder="1" applyAlignment="1">
      <alignment horizontal="center" vertical="center"/>
    </xf>
    <xf numFmtId="181" fontId="56" fillId="0" borderId="7" xfId="1" applyNumberFormat="1" applyFont="1" applyBorder="1" applyAlignment="1">
      <alignment horizontal="center" vertical="center"/>
    </xf>
    <xf numFmtId="181" fontId="59" fillId="0" borderId="53" xfId="1" applyNumberFormat="1" applyFont="1" applyBorder="1" applyAlignment="1">
      <alignment horizontal="center" vertical="center"/>
    </xf>
    <xf numFmtId="181" fontId="56" fillId="0" borderId="16" xfId="1" applyNumberFormat="1" applyFont="1" applyBorder="1" applyAlignment="1">
      <alignment horizontal="left" vertical="center"/>
    </xf>
    <xf numFmtId="181" fontId="56" fillId="0" borderId="7" xfId="1" applyNumberFormat="1" applyFont="1" applyBorder="1" applyAlignment="1">
      <alignment vertical="center"/>
    </xf>
    <xf numFmtId="181" fontId="56" fillId="0" borderId="53" xfId="1" applyNumberFormat="1" applyFont="1" applyBorder="1" applyAlignment="1">
      <alignment horizontal="center" vertical="center"/>
    </xf>
    <xf numFmtId="0" fontId="56" fillId="0" borderId="24" xfId="0" applyFont="1" applyBorder="1" applyAlignment="1">
      <alignment horizontal="left" vertical="center"/>
    </xf>
    <xf numFmtId="0" fontId="56" fillId="0" borderId="9" xfId="0" applyFont="1" applyBorder="1" applyAlignment="1">
      <alignment vertical="center"/>
    </xf>
    <xf numFmtId="186" fontId="56" fillId="0" borderId="9" xfId="0" applyNumberFormat="1" applyFont="1" applyBorder="1" applyAlignment="1">
      <alignment horizontal="center" vertical="center"/>
    </xf>
    <xf numFmtId="181" fontId="56" fillId="0" borderId="9" xfId="1" applyNumberFormat="1" applyFont="1" applyBorder="1" applyAlignment="1">
      <alignment horizontal="center" vertical="center"/>
    </xf>
    <xf numFmtId="181" fontId="61" fillId="0" borderId="54" xfId="1" applyNumberFormat="1" applyFont="1" applyBorder="1" applyAlignment="1">
      <alignment horizontal="center" vertical="center"/>
    </xf>
    <xf numFmtId="41" fontId="59" fillId="0" borderId="0" xfId="4" applyFont="1" applyBorder="1" applyAlignment="1">
      <alignment vertical="center"/>
    </xf>
    <xf numFmtId="186" fontId="56" fillId="0" borderId="0" xfId="0" applyNumberFormat="1" applyFont="1" applyAlignment="1">
      <alignment horizontal="left" vertical="center"/>
    </xf>
    <xf numFmtId="186" fontId="56" fillId="0" borderId="6" xfId="0" applyNumberFormat="1" applyFont="1" applyBorder="1" applyAlignment="1">
      <alignment horizontal="center" vertical="center"/>
    </xf>
    <xf numFmtId="181" fontId="59" fillId="0" borderId="54" xfId="1" applyNumberFormat="1" applyFont="1" applyBorder="1" applyAlignment="1">
      <alignment horizontal="center" vertical="center"/>
    </xf>
    <xf numFmtId="181" fontId="56" fillId="0" borderId="9" xfId="1" applyNumberFormat="1" applyFont="1" applyBorder="1" applyAlignment="1">
      <alignment horizontal="left" vertical="center"/>
    </xf>
    <xf numFmtId="181" fontId="56" fillId="0" borderId="54" xfId="1" applyNumberFormat="1" applyFont="1" applyBorder="1" applyAlignment="1">
      <alignment vertical="center"/>
    </xf>
    <xf numFmtId="186" fontId="56" fillId="0" borderId="9" xfId="5" applyNumberFormat="1" applyFont="1" applyBorder="1" applyAlignment="1">
      <alignment horizontal="center" vertical="center"/>
    </xf>
    <xf numFmtId="181" fontId="56" fillId="0" borderId="0" xfId="1" applyNumberFormat="1" applyFont="1" applyAlignment="1">
      <alignment vertical="center"/>
    </xf>
    <xf numFmtId="181" fontId="57" fillId="0" borderId="24" xfId="1" applyNumberFormat="1" applyFont="1" applyBorder="1" applyAlignment="1">
      <alignment horizontal="left" vertical="center"/>
    </xf>
    <xf numFmtId="181" fontId="57" fillId="0" borderId="9" xfId="1" applyNumberFormat="1" applyFont="1" applyBorder="1" applyAlignment="1">
      <alignment vertical="center"/>
    </xf>
    <xf numFmtId="0" fontId="57" fillId="0" borderId="24" xfId="0" applyFont="1" applyBorder="1" applyAlignment="1">
      <alignment horizontal="left" vertical="center"/>
    </xf>
    <xf numFmtId="0" fontId="57" fillId="0" borderId="9" xfId="0" applyFont="1" applyBorder="1" applyAlignment="1">
      <alignment vertical="center"/>
    </xf>
    <xf numFmtId="186" fontId="56" fillId="0" borderId="6" xfId="5" applyNumberFormat="1" applyFont="1" applyBorder="1" applyAlignment="1">
      <alignment horizontal="center" vertical="center"/>
    </xf>
    <xf numFmtId="41" fontId="59" fillId="0" borderId="0" xfId="4" applyFont="1" applyBorder="1" applyAlignment="1">
      <alignment vertical="center" wrapText="1"/>
    </xf>
    <xf numFmtId="176" fontId="56" fillId="0" borderId="0" xfId="5" applyFont="1" applyBorder="1" applyAlignment="1">
      <alignment vertical="center"/>
    </xf>
    <xf numFmtId="0" fontId="56" fillId="0" borderId="6" xfId="0" applyFont="1" applyBorder="1" applyAlignment="1">
      <alignment vertical="center"/>
    </xf>
    <xf numFmtId="181" fontId="36" fillId="0" borderId="55" xfId="1" applyNumberFormat="1" applyFont="1" applyBorder="1" applyAlignment="1">
      <alignment horizontal="center"/>
    </xf>
    <xf numFmtId="181" fontId="56" fillId="0" borderId="24" xfId="1" applyNumberFormat="1" applyFont="1" applyBorder="1" applyAlignment="1">
      <alignment horizontal="left" vertical="center"/>
    </xf>
    <xf numFmtId="181" fontId="56" fillId="0" borderId="9" xfId="1" applyNumberFormat="1" applyFont="1" applyBorder="1" applyAlignment="1">
      <alignment vertical="center"/>
    </xf>
    <xf numFmtId="186" fontId="56" fillId="0" borderId="0" xfId="4" applyNumberFormat="1" applyFont="1" applyAlignment="1">
      <alignment vertical="center"/>
    </xf>
    <xf numFmtId="41" fontId="62" fillId="0" borderId="0" xfId="4" applyFont="1" applyBorder="1" applyAlignment="1">
      <alignment vertical="center" wrapText="1"/>
    </xf>
    <xf numFmtId="186" fontId="57" fillId="0" borderId="0" xfId="4" applyNumberFormat="1" applyFont="1" applyAlignment="1">
      <alignment vertical="center"/>
    </xf>
    <xf numFmtId="186" fontId="56" fillId="7" borderId="0" xfId="0" applyNumberFormat="1" applyFont="1" applyFill="1" applyAlignment="1">
      <alignment vertical="center"/>
    </xf>
    <xf numFmtId="188" fontId="56" fillId="0" borderId="0" xfId="0" applyNumberFormat="1" applyFont="1" applyAlignment="1">
      <alignment vertical="center"/>
    </xf>
    <xf numFmtId="176" fontId="56" fillId="0" borderId="0" xfId="5" applyFont="1" applyAlignment="1">
      <alignment vertical="center"/>
    </xf>
    <xf numFmtId="176" fontId="59" fillId="0" borderId="0" xfId="5" applyFont="1" applyBorder="1" applyAlignment="1">
      <alignment vertical="center" wrapText="1"/>
    </xf>
    <xf numFmtId="186" fontId="56" fillId="0" borderId="9" xfId="4" applyNumberFormat="1" applyFont="1" applyBorder="1" applyAlignment="1">
      <alignment horizontal="center" vertical="center"/>
    </xf>
    <xf numFmtId="181" fontId="57" fillId="0" borderId="9" xfId="1" applyNumberFormat="1" applyFont="1" applyBorder="1" applyAlignment="1">
      <alignment horizontal="center" vertical="center"/>
    </xf>
    <xf numFmtId="176" fontId="63" fillId="0" borderId="0" xfId="5" applyFont="1" applyBorder="1" applyAlignment="1">
      <alignment vertical="center"/>
    </xf>
    <xf numFmtId="41" fontId="57" fillId="0" borderId="0" xfId="0" applyNumberFormat="1" applyFont="1" applyAlignment="1">
      <alignment vertical="center"/>
    </xf>
    <xf numFmtId="176" fontId="63" fillId="0" borderId="0" xfId="5" applyFont="1" applyAlignment="1">
      <alignment vertical="center"/>
    </xf>
    <xf numFmtId="181" fontId="57" fillId="0" borderId="54" xfId="1" applyNumberFormat="1" applyFont="1" applyBorder="1" applyAlignment="1">
      <alignment vertical="center"/>
    </xf>
    <xf numFmtId="186" fontId="59" fillId="0" borderId="0" xfId="0" applyNumberFormat="1" applyFont="1" applyAlignment="1">
      <alignment vertical="center"/>
    </xf>
    <xf numFmtId="0" fontId="56" fillId="0" borderId="9" xfId="0" applyFont="1" applyBorder="1" applyAlignment="1">
      <alignment horizontal="center" vertical="center"/>
    </xf>
    <xf numFmtId="176" fontId="59" fillId="0" borderId="0" xfId="5" applyFont="1" applyAlignment="1">
      <alignment vertical="center"/>
    </xf>
    <xf numFmtId="176" fontId="56" fillId="0" borderId="0" xfId="5" applyFont="1" applyAlignment="1">
      <alignment horizontal="left" vertical="center"/>
    </xf>
    <xf numFmtId="41" fontId="57" fillId="0" borderId="0" xfId="4" applyFont="1" applyAlignment="1">
      <alignment vertical="center"/>
    </xf>
    <xf numFmtId="186" fontId="60" fillId="0" borderId="0" xfId="0" applyNumberFormat="1" applyFont="1" applyAlignment="1">
      <alignment vertical="center"/>
    </xf>
    <xf numFmtId="181" fontId="59" fillId="0" borderId="54" xfId="1" applyNumberFormat="1" applyFont="1" applyBorder="1" applyAlignment="1">
      <alignment horizontal="left" vertical="center"/>
    </xf>
    <xf numFmtId="186" fontId="61" fillId="0" borderId="0" xfId="0" applyNumberFormat="1" applyFont="1" applyAlignment="1">
      <alignment vertical="center"/>
    </xf>
    <xf numFmtId="176" fontId="64" fillId="0" borderId="0" xfId="0" applyNumberFormat="1" applyFont="1" applyAlignment="1">
      <alignment vertical="center"/>
    </xf>
    <xf numFmtId="176" fontId="63" fillId="0" borderId="0" xfId="0" applyNumberFormat="1" applyFont="1" applyAlignment="1">
      <alignment vertical="center"/>
    </xf>
    <xf numFmtId="181" fontId="59" fillId="0" borderId="54" xfId="1" applyNumberFormat="1" applyFont="1" applyBorder="1" applyAlignment="1">
      <alignment vertical="center"/>
    </xf>
    <xf numFmtId="41" fontId="56" fillId="7" borderId="0" xfId="0" applyNumberFormat="1" applyFont="1" applyFill="1" applyAlignment="1">
      <alignment vertical="center"/>
    </xf>
    <xf numFmtId="176" fontId="57" fillId="0" borderId="0" xfId="5" applyFont="1" applyAlignment="1">
      <alignment vertical="center"/>
    </xf>
    <xf numFmtId="186" fontId="62" fillId="0" borderId="0" xfId="0" applyNumberFormat="1" applyFont="1" applyAlignment="1">
      <alignment vertical="center"/>
    </xf>
    <xf numFmtId="186" fontId="57" fillId="0" borderId="0" xfId="0" applyNumberFormat="1" applyFont="1" applyAlignment="1">
      <alignment vertical="center"/>
    </xf>
    <xf numFmtId="0" fontId="56" fillId="0" borderId="4" xfId="0" applyFont="1" applyBorder="1" applyAlignment="1">
      <alignment horizontal="left" vertical="center"/>
    </xf>
    <xf numFmtId="181" fontId="59" fillId="0" borderId="9" xfId="1" applyNumberFormat="1" applyFont="1" applyBorder="1" applyAlignment="1">
      <alignment horizontal="center" vertical="center"/>
    </xf>
    <xf numFmtId="181" fontId="56" fillId="0" borderId="4" xfId="1" applyNumberFormat="1" applyFont="1" applyBorder="1" applyAlignment="1">
      <alignment horizontal="left" vertical="center"/>
    </xf>
    <xf numFmtId="0" fontId="56" fillId="0" borderId="9" xfId="0" applyFont="1" applyBorder="1" applyAlignment="1">
      <alignment horizontal="left" vertical="center"/>
    </xf>
    <xf numFmtId="181" fontId="56" fillId="0" borderId="54" xfId="1" applyNumberFormat="1" applyFont="1" applyFill="1" applyBorder="1" applyAlignment="1">
      <alignment vertical="center"/>
    </xf>
    <xf numFmtId="181" fontId="61" fillId="0" borderId="9" xfId="1" applyNumberFormat="1" applyFont="1" applyBorder="1" applyAlignment="1">
      <alignment horizontal="center" vertical="center"/>
    </xf>
    <xf numFmtId="181" fontId="56" fillId="0" borderId="1" xfId="1" applyNumberFormat="1" applyFont="1" applyBorder="1" applyAlignment="1">
      <alignment vertical="center"/>
    </xf>
    <xf numFmtId="181" fontId="56" fillId="0" borderId="56" xfId="1" applyNumberFormat="1" applyFont="1" applyFill="1" applyBorder="1" applyAlignment="1">
      <alignment vertical="center"/>
    </xf>
    <xf numFmtId="0" fontId="56" fillId="0" borderId="48" xfId="0" applyFont="1" applyBorder="1" applyAlignment="1">
      <alignment horizontal="left" vertical="center"/>
    </xf>
    <xf numFmtId="0" fontId="56" fillId="0" borderId="1" xfId="0" applyFont="1" applyBorder="1" applyAlignment="1">
      <alignment vertical="center"/>
    </xf>
    <xf numFmtId="186" fontId="56" fillId="0" borderId="1" xfId="0" applyNumberFormat="1" applyFont="1" applyBorder="1" applyAlignment="1">
      <alignment horizontal="center" vertical="center"/>
    </xf>
    <xf numFmtId="181" fontId="56" fillId="0" borderId="1" xfId="1" applyNumberFormat="1" applyFont="1" applyBorder="1" applyAlignment="1">
      <alignment horizontal="center" vertical="center"/>
    </xf>
    <xf numFmtId="181" fontId="61" fillId="0" borderId="56" xfId="1" applyNumberFormat="1" applyFont="1" applyBorder="1" applyAlignment="1">
      <alignment horizontal="center" vertical="center"/>
    </xf>
    <xf numFmtId="181" fontId="57" fillId="0" borderId="56" xfId="1" applyNumberFormat="1" applyFont="1" applyFill="1" applyBorder="1" applyAlignment="1">
      <alignment vertical="center"/>
    </xf>
    <xf numFmtId="181" fontId="61" fillId="0" borderId="25" xfId="1" applyNumberFormat="1" applyFont="1" applyBorder="1" applyAlignment="1">
      <alignment horizontal="center" vertical="center"/>
    </xf>
    <xf numFmtId="181" fontId="56" fillId="0" borderId="9" xfId="1" applyNumberFormat="1" applyFont="1" applyFill="1" applyBorder="1" applyAlignment="1">
      <alignment vertical="center"/>
    </xf>
    <xf numFmtId="0" fontId="57" fillId="21" borderId="57" xfId="0" applyFont="1" applyFill="1" applyBorder="1" applyAlignment="1">
      <alignment horizontal="center" vertical="center"/>
    </xf>
    <xf numFmtId="0" fontId="57" fillId="21" borderId="58" xfId="0" applyFont="1" applyFill="1" applyBorder="1" applyAlignment="1">
      <alignment horizontal="center" vertical="center"/>
    </xf>
    <xf numFmtId="181" fontId="61" fillId="21" borderId="59" xfId="1" applyNumberFormat="1" applyFont="1" applyFill="1" applyBorder="1" applyAlignment="1">
      <alignment horizontal="center" vertical="center"/>
    </xf>
    <xf numFmtId="181" fontId="57" fillId="21" borderId="57" xfId="1" applyNumberFormat="1" applyFont="1" applyFill="1" applyBorder="1" applyAlignment="1">
      <alignment horizontal="center" vertical="center"/>
    </xf>
    <xf numFmtId="181" fontId="57" fillId="21" borderId="58" xfId="1" applyNumberFormat="1" applyFont="1" applyFill="1" applyBorder="1" applyAlignment="1">
      <alignment horizontal="center" vertical="center"/>
    </xf>
    <xf numFmtId="181" fontId="57" fillId="21" borderId="59" xfId="1" applyNumberFormat="1" applyFont="1" applyFill="1" applyBorder="1" applyAlignment="1">
      <alignment vertical="center"/>
    </xf>
    <xf numFmtId="186" fontId="58" fillId="0" borderId="0" xfId="0" applyNumberFormat="1" applyFont="1" applyAlignment="1">
      <alignment vertical="center"/>
    </xf>
    <xf numFmtId="181" fontId="9" fillId="0" borderId="0" xfId="1" applyNumberFormat="1" applyFont="1" applyAlignment="1">
      <alignment horizontal="right" vertical="center"/>
    </xf>
    <xf numFmtId="186" fontId="35" fillId="0" borderId="0" xfId="0" applyNumberFormat="1" applyFont="1" applyAlignment="1">
      <alignment vertical="center"/>
    </xf>
    <xf numFmtId="181" fontId="54" fillId="0" borderId="0" xfId="1" applyNumberFormat="1" applyFont="1" applyAlignment="1">
      <alignment horizontal="center" vertical="center"/>
    </xf>
    <xf numFmtId="41" fontId="0" fillId="0" borderId="0" xfId="0" applyNumberFormat="1" applyAlignment="1">
      <alignment vertical="center"/>
    </xf>
    <xf numFmtId="0" fontId="10" fillId="0" borderId="0" xfId="0" applyFont="1" applyAlignment="1">
      <alignment horizontal="center" vertical="center"/>
    </xf>
    <xf numFmtId="181" fontId="10" fillId="0" borderId="0" xfId="1" applyNumberFormat="1" applyFont="1" applyAlignment="1">
      <alignment horizontal="center" vertical="center"/>
    </xf>
    <xf numFmtId="181" fontId="0" fillId="0" borderId="0" xfId="1" applyNumberFormat="1" applyFont="1" applyAlignment="1">
      <alignment horizontal="center"/>
    </xf>
    <xf numFmtId="181" fontId="54" fillId="0" borderId="0" xfId="1" applyNumberFormat="1" applyFont="1" applyAlignment="1">
      <alignment horizontal="center"/>
    </xf>
    <xf numFmtId="181" fontId="50" fillId="0" borderId="0" xfId="1" applyNumberFormat="1" applyFont="1" applyAlignment="1">
      <alignment horizontal="center"/>
    </xf>
    <xf numFmtId="181" fontId="7" fillId="0" borderId="0" xfId="1" applyNumberFormat="1" applyFont="1" applyAlignment="1">
      <alignment horizontal="center"/>
    </xf>
    <xf numFmtId="181" fontId="44" fillId="0" borderId="0" xfId="1" applyNumberFormat="1" applyFont="1" applyAlignment="1">
      <alignment horizontal="center"/>
    </xf>
    <xf numFmtId="181" fontId="7" fillId="0" borderId="0" xfId="1" applyNumberFormat="1" applyFont="1" applyAlignment="1">
      <alignment horizontal="left"/>
    </xf>
    <xf numFmtId="181" fontId="10" fillId="0" borderId="0" xfId="1" applyNumberFormat="1" applyFont="1" applyAlignment="1">
      <alignment horizontal="center"/>
    </xf>
    <xf numFmtId="181" fontId="65" fillId="0" borderId="0" xfId="1" applyNumberFormat="1" applyFont="1" applyAlignment="1">
      <alignment horizontal="center"/>
    </xf>
    <xf numFmtId="181" fontId="10" fillId="0" borderId="0" xfId="1" applyNumberFormat="1" applyFont="1" applyAlignment="1">
      <alignment horizontal="left"/>
    </xf>
    <xf numFmtId="0" fontId="1" fillId="7" borderId="1" xfId="64" applyFont="1" applyFill="1" applyBorder="1" applyAlignment="1" quotePrefix="1">
      <alignment horizontal="center" vertical="center"/>
    </xf>
    <xf numFmtId="58" fontId="2" fillId="0" borderId="9" xfId="0" applyNumberFormat="1" applyFont="1" applyFill="1" applyBorder="1" applyAlignment="1" quotePrefix="1">
      <alignment horizontal="center" vertical="center"/>
    </xf>
    <xf numFmtId="58" fontId="2" fillId="0" borderId="9" xfId="0" applyNumberFormat="1" applyFont="1" applyFill="1" applyBorder="1" applyAlignment="1" quotePrefix="1">
      <alignment vertical="center"/>
    </xf>
    <xf numFmtId="58" fontId="2" fillId="0" borderId="7" xfId="0" applyNumberFormat="1" applyFont="1" applyFill="1" applyBorder="1" applyAlignment="1" quotePrefix="1">
      <alignment vertical="center"/>
    </xf>
    <xf numFmtId="58" fontId="2" fillId="0" borderId="1" xfId="0" applyNumberFormat="1" applyFont="1" applyFill="1" applyBorder="1" applyAlignment="1" quotePrefix="1">
      <alignment horizontal="center" vertical="center"/>
    </xf>
    <xf numFmtId="0" fontId="2" fillId="0" borderId="1" xfId="64" applyFont="1" applyFill="1" applyBorder="1" applyAlignment="1" quotePrefix="1">
      <alignment horizontal="center" vertical="center"/>
    </xf>
    <xf numFmtId="0" fontId="2" fillId="0" borderId="9" xfId="64" applyFont="1" applyFill="1" applyBorder="1" applyAlignment="1" quotePrefix="1">
      <alignment horizontal="center" vertical="center"/>
    </xf>
    <xf numFmtId="0" fontId="2" fillId="0" borderId="7" xfId="64" applyFont="1" applyFill="1" applyBorder="1" applyAlignment="1" quotePrefix="1">
      <alignment vertical="center"/>
    </xf>
    <xf numFmtId="0" fontId="2" fillId="0" borderId="9" xfId="64" applyFont="1" applyFill="1" applyBorder="1" applyAlignment="1" quotePrefix="1">
      <alignment vertical="center"/>
    </xf>
    <xf numFmtId="0" fontId="2" fillId="0" borderId="9" xfId="64" applyFont="1" applyFill="1" applyBorder="1" applyAlignment="1" quotePrefix="1">
      <alignment vertical="center"/>
    </xf>
    <xf numFmtId="0" fontId="2" fillId="0" borderId="9" xfId="64" applyFont="1" applyBorder="1" applyAlignment="1" quotePrefix="1">
      <alignment horizontal="center" vertical="center"/>
    </xf>
    <xf numFmtId="0" fontId="2" fillId="0" borderId="9" xfId="64" applyFont="1" applyBorder="1" applyAlignment="1" quotePrefix="1">
      <alignment vertical="center"/>
    </xf>
    <xf numFmtId="0" fontId="2" fillId="0" borderId="6" xfId="64" applyFont="1" applyBorder="1" applyAlignment="1" quotePrefix="1">
      <alignment horizontal="center" vertical="center"/>
    </xf>
    <xf numFmtId="41" fontId="0" fillId="0" borderId="9" xfId="4" applyFont="1" applyFill="1" applyBorder="1" applyAlignment="1" quotePrefix="1">
      <alignment vertical="center"/>
    </xf>
    <xf numFmtId="181" fontId="4" fillId="0" borderId="9" xfId="1" applyNumberFormat="1" applyFont="1" applyBorder="1" applyAlignment="1" quotePrefix="1">
      <alignment horizontal="center" vertical="center"/>
    </xf>
    <xf numFmtId="181" fontId="4" fillId="7" borderId="9" xfId="1" applyNumberFormat="1" applyFont="1" applyFill="1" applyBorder="1" applyAlignment="1" quotePrefix="1">
      <alignment horizontal="center" vertical="center"/>
    </xf>
    <xf numFmtId="41" fontId="0" fillId="7" borderId="9" xfId="4" applyFont="1" applyFill="1" applyBorder="1" applyAlignment="1" quotePrefix="1">
      <alignment vertical="center"/>
    </xf>
    <xf numFmtId="41" fontId="4" fillId="7" borderId="9" xfId="4" applyFont="1" applyFill="1" applyBorder="1" applyAlignment="1" quotePrefix="1">
      <alignment vertical="center"/>
    </xf>
    <xf numFmtId="41" fontId="0" fillId="0" borderId="7" xfId="4" applyFont="1" applyFill="1" applyBorder="1" applyAlignment="1" quotePrefix="1">
      <alignment vertical="center"/>
    </xf>
    <xf numFmtId="58" fontId="0" fillId="0" borderId="7" xfId="4" applyNumberFormat="1" applyFont="1" applyFill="1" applyBorder="1" applyAlignment="1" quotePrefix="1">
      <alignment vertical="center"/>
    </xf>
    <xf numFmtId="181" fontId="4" fillId="0" borderId="7" xfId="1" applyNumberFormat="1" applyFont="1" applyBorder="1" applyAlignment="1" quotePrefix="1">
      <alignment horizontal="center" vertical="center"/>
    </xf>
    <xf numFmtId="58" fontId="0" fillId="0" borderId="9" xfId="4" applyNumberFormat="1" applyFont="1" applyFill="1" applyBorder="1" applyAlignment="1" quotePrefix="1">
      <alignment vertical="center"/>
    </xf>
    <xf numFmtId="58" fontId="4" fillId="0" borderId="7" xfId="4" applyNumberFormat="1" applyFont="1" applyFill="1" applyBorder="1" applyAlignment="1" quotePrefix="1">
      <alignment vertical="center"/>
    </xf>
    <xf numFmtId="58" fontId="4" fillId="0" borderId="9" xfId="4" applyNumberFormat="1" applyFont="1" applyFill="1" applyBorder="1" applyAlignment="1" quotePrefix="1">
      <alignment vertical="center"/>
    </xf>
    <xf numFmtId="41" fontId="0" fillId="0" borderId="7" xfId="4" applyFont="1" applyFill="1" applyBorder="1" applyAlignment="1" quotePrefix="1">
      <alignment vertical="center"/>
    </xf>
    <xf numFmtId="0" fontId="36" fillId="0" borderId="9" xfId="0" applyFont="1" applyFill="1" applyBorder="1" quotePrefix="1"/>
    <xf numFmtId="0" fontId="36" fillId="12" borderId="9" xfId="0" applyFont="1" applyFill="1" applyBorder="1" applyAlignment="1" quotePrefix="1">
      <alignment horizontal="center" vertical="center"/>
    </xf>
    <xf numFmtId="58" fontId="36" fillId="0" borderId="9" xfId="0" applyNumberFormat="1" applyFont="1" applyFill="1" applyBorder="1" quotePrefix="1"/>
    <xf numFmtId="0" fontId="41" fillId="12" borderId="9" xfId="0" applyFont="1" applyFill="1" applyBorder="1" applyAlignment="1" quotePrefix="1">
      <alignment horizontal="center" vertical="center"/>
    </xf>
    <xf numFmtId="0" fontId="36" fillId="0" borderId="9" xfId="67" applyFont="1" applyFill="1" applyBorder="1" applyAlignment="1" quotePrefix="1">
      <alignment horizontal="left" vertical="center"/>
    </xf>
    <xf numFmtId="0" fontId="36" fillId="12" borderId="9" xfId="67" applyFont="1" applyFill="1" applyBorder="1" applyAlignment="1" quotePrefix="1">
      <alignment horizontal="center" vertical="center"/>
    </xf>
    <xf numFmtId="0" fontId="36" fillId="0" borderId="9" xfId="67" applyFont="1" applyFill="1" applyBorder="1" applyAlignment="1" quotePrefix="1">
      <alignment horizontal="center" vertical="center"/>
    </xf>
    <xf numFmtId="0" fontId="36" fillId="7" borderId="9" xfId="67" applyFont="1" applyFill="1" applyBorder="1" applyAlignment="1" quotePrefix="1">
      <alignment horizontal="center" vertical="center"/>
    </xf>
    <xf numFmtId="0" fontId="3" fillId="0" borderId="9" xfId="0" applyFont="1" applyFill="1" applyBorder="1" applyAlignment="1" quotePrefix="1">
      <alignment horizontal="center" vertical="center"/>
    </xf>
    <xf numFmtId="0" fontId="20" fillId="0" borderId="9" xfId="65" applyFont="1" applyBorder="1" applyAlignment="1" quotePrefix="1">
      <alignment horizontal="center" vertical="center"/>
    </xf>
    <xf numFmtId="0" fontId="20" fillId="0" borderId="1" xfId="65" applyFont="1" applyBorder="1" applyAlignment="1" quotePrefix="1">
      <alignment horizontal="center" vertical="center"/>
    </xf>
    <xf numFmtId="182" fontId="13" fillId="0" borderId="9" xfId="65" applyNumberFormat="1" applyFont="1" applyBorder="1" applyAlignment="1" quotePrefix="1">
      <alignment horizontal="center"/>
    </xf>
    <xf numFmtId="58" fontId="20" fillId="0" borderId="9" xfId="65" applyNumberFormat="1" applyFont="1" applyBorder="1" applyAlignment="1" quotePrefix="1">
      <alignment horizontal="center" vertical="center"/>
    </xf>
    <xf numFmtId="0" fontId="4" fillId="7" borderId="9" xfId="0" applyFont="1" applyFill="1" applyBorder="1" applyAlignment="1" quotePrefix="1">
      <alignment horizontal="left" vertical="center"/>
    </xf>
    <xf numFmtId="0" fontId="4" fillId="0" borderId="9" xfId="0" applyFont="1" applyFill="1" applyBorder="1" applyAlignment="1" quotePrefix="1"/>
    <xf numFmtId="0" fontId="4" fillId="0" borderId="9" xfId="0" applyFont="1" applyFill="1" applyBorder="1" applyAlignment="1" quotePrefix="1">
      <alignment vertical="center"/>
    </xf>
    <xf numFmtId="0" fontId="4" fillId="0" borderId="9" xfId="0" applyFont="1" applyFill="1" applyBorder="1" applyAlignment="1" quotePrefix="1">
      <alignment horizontal="left" vertical="center"/>
    </xf>
    <xf numFmtId="58" fontId="4" fillId="0" borderId="9" xfId="0" applyNumberFormat="1" applyFont="1" applyFill="1" applyBorder="1" applyAlignment="1" quotePrefix="1">
      <alignment vertical="center"/>
    </xf>
    <xf numFmtId="0" fontId="4" fillId="0" borderId="9" xfId="0" applyFont="1" applyFill="1" applyBorder="1" applyAlignment="1" quotePrefix="1">
      <alignment horizontal="center" vertical="center"/>
    </xf>
    <xf numFmtId="0" fontId="4" fillId="7" borderId="9" xfId="0" applyFont="1" applyFill="1" applyBorder="1" applyAlignment="1" quotePrefix="1">
      <alignment horizontal="center" vertical="center"/>
    </xf>
    <xf numFmtId="0" fontId="4" fillId="8" borderId="9" xfId="0" applyFont="1" applyFill="1" applyBorder="1" applyAlignment="1" quotePrefix="1">
      <alignment horizontal="left" vertical="center"/>
    </xf>
    <xf numFmtId="0" fontId="2" fillId="0" borderId="9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7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[0] 2" xfId="49"/>
    <cellStyle name="Comma [0] 3" xfId="50"/>
    <cellStyle name="Comma [0] 4" xfId="51"/>
    <cellStyle name="Comma [0] 5" xfId="52"/>
    <cellStyle name="Comma [0] 6" xfId="53"/>
    <cellStyle name="Comma 2" xfId="54"/>
    <cellStyle name="Comma 2 2" xfId="55"/>
    <cellStyle name="Comma 3" xfId="56"/>
    <cellStyle name="Comma 4" xfId="57"/>
    <cellStyle name="Comma 4 2" xfId="58"/>
    <cellStyle name="Comma 5" xfId="59"/>
    <cellStyle name="Comma 6" xfId="60"/>
    <cellStyle name="Comma 7" xfId="61"/>
    <cellStyle name="Currency [0] 2" xfId="62"/>
    <cellStyle name="Normal 2" xfId="63"/>
    <cellStyle name="Normal 3" xfId="64"/>
    <cellStyle name="Normal 4" xfId="65"/>
    <cellStyle name="Normal 5" xfId="66"/>
    <cellStyle name="Normal 6" xfId="67"/>
    <cellStyle name="Normal 6 2" xfId="68"/>
    <cellStyle name="Normal 7" xfId="69"/>
    <cellStyle name="Percent 2" xfId="70"/>
    <cellStyle name="Percent 3" xfId="71"/>
  </cellStyles>
  <tableStyles count="0" defaultTableStyle="TableStyleMedium2" defaultPivotStyle="PivotStyleLight16"/>
  <colors>
    <mruColors>
      <color rgb="0033CC33"/>
      <color rgb="00FF00FF"/>
      <color rgb="00FF6600"/>
      <color rgb="00000099"/>
      <color rgb="000033CC"/>
      <color rgb="00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8" Type="http://schemas.openxmlformats.org/officeDocument/2006/relationships/styles" Target="styles.xml"/><Relationship Id="rId87" Type="http://schemas.openxmlformats.org/officeDocument/2006/relationships/sheetMetadata" Target="metadata.xml"/><Relationship Id="rId86" Type="http://schemas.openxmlformats.org/officeDocument/2006/relationships/sharedStrings" Target="sharedStrings.xml"/><Relationship Id="rId85" Type="http://schemas.openxmlformats.org/officeDocument/2006/relationships/theme" Target="theme/theme1.xml"/><Relationship Id="rId84" Type="http://schemas.openxmlformats.org/officeDocument/2006/relationships/externalLink" Target="externalLinks/externalLink57.xml"/><Relationship Id="rId83" Type="http://schemas.openxmlformats.org/officeDocument/2006/relationships/externalLink" Target="externalLinks/externalLink56.xml"/><Relationship Id="rId82" Type="http://schemas.openxmlformats.org/officeDocument/2006/relationships/externalLink" Target="externalLinks/externalLink55.xml"/><Relationship Id="rId81" Type="http://schemas.openxmlformats.org/officeDocument/2006/relationships/externalLink" Target="externalLinks/externalLink54.xml"/><Relationship Id="rId80" Type="http://schemas.openxmlformats.org/officeDocument/2006/relationships/externalLink" Target="externalLinks/externalLink53.xml"/><Relationship Id="rId8" Type="http://schemas.openxmlformats.org/officeDocument/2006/relationships/worksheet" Target="worksheets/sheet8.xml"/><Relationship Id="rId79" Type="http://schemas.openxmlformats.org/officeDocument/2006/relationships/externalLink" Target="externalLinks/externalLink52.xml"/><Relationship Id="rId78" Type="http://schemas.openxmlformats.org/officeDocument/2006/relationships/externalLink" Target="externalLinks/externalLink51.xml"/><Relationship Id="rId77" Type="http://schemas.openxmlformats.org/officeDocument/2006/relationships/externalLink" Target="externalLinks/externalLink50.xml"/><Relationship Id="rId76" Type="http://schemas.openxmlformats.org/officeDocument/2006/relationships/externalLink" Target="externalLinks/externalLink49.xml"/><Relationship Id="rId75" Type="http://schemas.openxmlformats.org/officeDocument/2006/relationships/externalLink" Target="externalLinks/externalLink48.xml"/><Relationship Id="rId74" Type="http://schemas.openxmlformats.org/officeDocument/2006/relationships/externalLink" Target="externalLinks/externalLink47.xml"/><Relationship Id="rId73" Type="http://schemas.openxmlformats.org/officeDocument/2006/relationships/externalLink" Target="externalLinks/externalLink46.xml"/><Relationship Id="rId72" Type="http://schemas.openxmlformats.org/officeDocument/2006/relationships/externalLink" Target="externalLinks/externalLink45.xml"/><Relationship Id="rId71" Type="http://schemas.openxmlformats.org/officeDocument/2006/relationships/externalLink" Target="externalLinks/externalLink44.xml"/><Relationship Id="rId70" Type="http://schemas.openxmlformats.org/officeDocument/2006/relationships/externalLink" Target="externalLinks/externalLink43.xml"/><Relationship Id="rId7" Type="http://schemas.openxmlformats.org/officeDocument/2006/relationships/worksheet" Target="worksheets/sheet7.xml"/><Relationship Id="rId69" Type="http://schemas.openxmlformats.org/officeDocument/2006/relationships/externalLink" Target="externalLinks/externalLink42.xml"/><Relationship Id="rId68" Type="http://schemas.openxmlformats.org/officeDocument/2006/relationships/externalLink" Target="externalLinks/externalLink41.xml"/><Relationship Id="rId67" Type="http://schemas.openxmlformats.org/officeDocument/2006/relationships/externalLink" Target="externalLinks/externalLink40.xml"/><Relationship Id="rId66" Type="http://schemas.openxmlformats.org/officeDocument/2006/relationships/externalLink" Target="externalLinks/externalLink39.xml"/><Relationship Id="rId65" Type="http://schemas.openxmlformats.org/officeDocument/2006/relationships/externalLink" Target="externalLinks/externalLink38.xml"/><Relationship Id="rId64" Type="http://schemas.openxmlformats.org/officeDocument/2006/relationships/externalLink" Target="externalLinks/externalLink37.xml"/><Relationship Id="rId63" Type="http://schemas.openxmlformats.org/officeDocument/2006/relationships/externalLink" Target="externalLinks/externalLink36.xml"/><Relationship Id="rId62" Type="http://schemas.openxmlformats.org/officeDocument/2006/relationships/externalLink" Target="externalLinks/externalLink35.xml"/><Relationship Id="rId61" Type="http://schemas.openxmlformats.org/officeDocument/2006/relationships/externalLink" Target="externalLinks/externalLink34.xml"/><Relationship Id="rId60" Type="http://schemas.openxmlformats.org/officeDocument/2006/relationships/externalLink" Target="externalLinks/externalLink33.xml"/><Relationship Id="rId6" Type="http://schemas.openxmlformats.org/officeDocument/2006/relationships/worksheet" Target="worksheets/sheet6.xml"/><Relationship Id="rId59" Type="http://schemas.openxmlformats.org/officeDocument/2006/relationships/externalLink" Target="externalLinks/externalLink32.xml"/><Relationship Id="rId58" Type="http://schemas.openxmlformats.org/officeDocument/2006/relationships/externalLink" Target="externalLinks/externalLink31.xml"/><Relationship Id="rId57" Type="http://schemas.openxmlformats.org/officeDocument/2006/relationships/externalLink" Target="externalLinks/externalLink30.xml"/><Relationship Id="rId56" Type="http://schemas.openxmlformats.org/officeDocument/2006/relationships/externalLink" Target="externalLinks/externalLink29.xml"/><Relationship Id="rId55" Type="http://schemas.openxmlformats.org/officeDocument/2006/relationships/externalLink" Target="externalLinks/externalLink28.xml"/><Relationship Id="rId54" Type="http://schemas.openxmlformats.org/officeDocument/2006/relationships/externalLink" Target="externalLinks/externalLink27.xml"/><Relationship Id="rId53" Type="http://schemas.openxmlformats.org/officeDocument/2006/relationships/externalLink" Target="externalLinks/externalLink26.xml"/><Relationship Id="rId52" Type="http://schemas.openxmlformats.org/officeDocument/2006/relationships/externalLink" Target="externalLinks/externalLink25.xml"/><Relationship Id="rId51" Type="http://schemas.openxmlformats.org/officeDocument/2006/relationships/externalLink" Target="externalLinks/externalLink24.xml"/><Relationship Id="rId50" Type="http://schemas.openxmlformats.org/officeDocument/2006/relationships/externalLink" Target="externalLinks/externalLink23.xml"/><Relationship Id="rId5" Type="http://schemas.openxmlformats.org/officeDocument/2006/relationships/worksheet" Target="worksheets/sheet5.xml"/><Relationship Id="rId49" Type="http://schemas.openxmlformats.org/officeDocument/2006/relationships/externalLink" Target="externalLinks/externalLink22.xml"/><Relationship Id="rId48" Type="http://schemas.openxmlformats.org/officeDocument/2006/relationships/externalLink" Target="externalLinks/externalLink21.xml"/><Relationship Id="rId47" Type="http://schemas.openxmlformats.org/officeDocument/2006/relationships/externalLink" Target="externalLinks/externalLink20.xml"/><Relationship Id="rId46" Type="http://schemas.openxmlformats.org/officeDocument/2006/relationships/externalLink" Target="externalLinks/externalLink19.xml"/><Relationship Id="rId45" Type="http://schemas.openxmlformats.org/officeDocument/2006/relationships/externalLink" Target="externalLinks/externalLink18.xml"/><Relationship Id="rId44" Type="http://schemas.openxmlformats.org/officeDocument/2006/relationships/externalLink" Target="externalLinks/externalLink17.xml"/><Relationship Id="rId43" Type="http://schemas.openxmlformats.org/officeDocument/2006/relationships/externalLink" Target="externalLinks/externalLink16.xml"/><Relationship Id="rId42" Type="http://schemas.openxmlformats.org/officeDocument/2006/relationships/externalLink" Target="externalLinks/externalLink15.xml"/><Relationship Id="rId41" Type="http://schemas.openxmlformats.org/officeDocument/2006/relationships/externalLink" Target="externalLinks/externalLink14.xml"/><Relationship Id="rId40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39" Type="http://schemas.openxmlformats.org/officeDocument/2006/relationships/externalLink" Target="externalLinks/externalLink12.xml"/><Relationship Id="rId38" Type="http://schemas.openxmlformats.org/officeDocument/2006/relationships/externalLink" Target="externalLinks/externalLink11.xml"/><Relationship Id="rId37" Type="http://schemas.openxmlformats.org/officeDocument/2006/relationships/externalLink" Target="externalLinks/externalLink10.xml"/><Relationship Id="rId36" Type="http://schemas.openxmlformats.org/officeDocument/2006/relationships/externalLink" Target="externalLinks/externalLink9.xml"/><Relationship Id="rId35" Type="http://schemas.openxmlformats.org/officeDocument/2006/relationships/externalLink" Target="externalLinks/externalLink8.xml"/><Relationship Id="rId34" Type="http://schemas.openxmlformats.org/officeDocument/2006/relationships/externalLink" Target="externalLinks/externalLink7.xml"/><Relationship Id="rId33" Type="http://schemas.openxmlformats.org/officeDocument/2006/relationships/externalLink" Target="externalLinks/externalLink6.xml"/><Relationship Id="rId32" Type="http://schemas.openxmlformats.org/officeDocument/2006/relationships/externalLink" Target="externalLinks/externalLink5.xml"/><Relationship Id="rId31" Type="http://schemas.openxmlformats.org/officeDocument/2006/relationships/externalLink" Target="externalLinks/externalLink4.xml"/><Relationship Id="rId30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2.xml"/><Relationship Id="rId28" Type="http://schemas.openxmlformats.org/officeDocument/2006/relationships/externalLink" Target="externalLinks/externalLink1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3</xdr:row>
      <xdr:rowOff>116418</xdr:rowOff>
    </xdr:from>
    <xdr:to>
      <xdr:col>4</xdr:col>
      <xdr:colOff>863600</xdr:colOff>
      <xdr:row>6</xdr:row>
      <xdr:rowOff>148167</xdr:rowOff>
    </xdr:to>
    <xdr:sp>
      <xdr:nvSpPr>
        <xdr:cNvPr id="2" name="TextBox 1"/>
        <xdr:cNvSpPr txBox="1"/>
      </xdr:nvSpPr>
      <xdr:spPr>
        <a:xfrm>
          <a:off x="0" y="611505"/>
          <a:ext cx="4066540" cy="584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D" sz="11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Desa/Kecamatan</a:t>
          </a:r>
          <a:r>
            <a:rPr lang="en-ID" sz="11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: Batupute Kec. Soppeng Riaja</a:t>
          </a:r>
          <a:endParaRPr lang="en-ID" sz="1100" baseline="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ID" sz="11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Kabupaten            : Barru</a:t>
          </a:r>
          <a:endParaRPr lang="en-ID" sz="1100" baseline="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ID" sz="11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Proinsi                 : Sulawesi Selatan</a:t>
          </a:r>
          <a:r>
            <a:rPr lang="en-ID" sz="11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	</a:t>
          </a:r>
          <a:endParaRPr lang="en-ID" sz="11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tekniks%20SIDRAP\ANALISA%20BARU\Bina%20Marga\5-ALAT%20-%20Cop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PDAM-PANGKEP%20(TOMBOLO)\D-STIMULUS(PEM.SARANA%20AIR%20BAKU%20TOMBOLO)\PERENCANAAN%20PPI%20PANGKEP\RAB%20PEMBANGUNAN%20PPI%20PANGK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DAM-PANGKEP%20(TOMBOLO)\D-STIMULUS(PEM.SARANA%20AIR%20BAKU%20TOMBOLO)\PERENCANAAN%20PPI%20PANGKEP\RAB%20PEMBANGUNAN%20PPI%20PANGKE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LPM%20Boriappaka\data%202012\perikanan%202012\PENAWARAN%20H.MIMING\irigasi%20tmini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LPM%20Boriappaka\PDAM-PANGKEP%20(TOMBOLO)\D-STIMULUS(PEM.SARANA%20AIR%20BAKU%20TOMBOLO)\PERENCANAAN%20PPI%20PANGKEP\rev_RAB%20PEMBANGUNAN%20PPI%20PANGK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Kantor%20D\OP%20II\Documents%20and%20Settings\171208\My%20Documents\RAB%20Batangmata\TIM-EST\budi\TenderJalan\CM-Jala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project\PROYEK%20JALAN%20KUPANG\Documents%20and%20Settings\User\Local%20Settings\Temp\Temporary%20Directory%201%20for%20TubanBulu.zip\MERR\Skedul-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PANTAI%20APATANAH\My%20Documents\reog\teka\SOLO-3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PENAWARAN-2010\JN_2010\RAB%20LUTIM-2010\JEMBT.LAUMPANGI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TazMania\Smoke%20Project\Penawaran%202005\cv%20buyung\paket%207\kaluku\1-BOQ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ISHAM-FIKA\polewali\13%20MILYAR\RAB%20PEMELIHARAAN%20BERKALA%20JLN%20BTS%20KOTA%20POLEWALI%20-%20BTS%20PROV%20SUL%20SEL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k-d8c40027609\data%20(d)\COMPANY\Proyek%20-%202007\PU-LUTRA\RAB%20ASMAH-TJ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Muju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Rehab.%20Balai%20Nik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Pengkajoang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ee%202014\RAB%20VILLA%20CAMBA-CAMBANG%20-%20(EE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\PROJEK%20RAB\Daftar%20Analisa%20K%20barru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RRI\DATA%20KOMPUTER%20IWAN%20(D)%2027%20Juni%2012\My%20Document%20Windat\Perkebunan%20SULBAR\GOWA\GOWA%202010\Kantor%20DPRD%20Gowa%202010\5-RAB%20KEJARI%20MAMASA-ANI%20KURANGI%20VO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one\RABPJK00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PEMBOBOTAN%20DERMAGA\limbangan\limbangan%20%20CV.agung%20MANDIRI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RRI\My%20Document%20Windat\BONE\PASAR%20BONE%2008\GUDANG%20BONE%202009\JUNI\Juli\RAB%20GUDANG%20BONE%20FILE\Gudang%20Uloe%20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\My%20Document%20Windat\MAKASSAR\BKPMD\RAB%20BKPMD\Kakanta%20Project\File%20Penawaran\2010\Tender%20UNM\TENDER%20PASCASARJANA\PT.%20KAKANTA\RAB%20Tawar%2022%2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ther\LABORATORIUM%20PERIKANAN\RAB%20PERIKANAN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\Kantor%20D\OP%20II\Documents%20and%20Settings\171208\My%20Documents\RAB%20Batangmata\Tender\TIM-EST\budi\TenderJalan\CM-Jalan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\DESAIN\Pujananting\AHSP%202015%20PARE%20NON%20PP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AHS2006\Copy%20of%20PAHS2006%20R2%20draft(MIS)new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ivisi%20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ivisi%204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02-Sadli\Data%202006\RSUD\PEMELIHARAAN%20RSU\rumah%20dokter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Documents%20and%20Settings\mjc\My%20Documents\PASAR%20SIDRAP\Dokumen%20Lelang%20Pasar%20Pangkajene\1-RAB%20REVISI-PANG\4-rab%20rubah%20hrg%20bahan%20pasar%20pangkajene-contigency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lla'e\c\My%20Documents\My%20Files%20BeeT\maros\pbb\aspal%20AC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LPM%20Boriappaka\Documents%20and%20Settings\Start%20Menu\INSTANT-ACCESS\My%20Documents\RSU%20Enrekang%202005\maros\pbb\aspal%20AC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Data%202010\Data%20Untuk%20Dinas\RAB%20SARANA%20DAN%20PRASARANA%20APARATUR\Minimarke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DATA%202013\PERHUB.%202013\perhub%202013\rambu%202013\anggaran%20perubahan\penawarana%20perubahan\HALTE%20NISAR\HALTE%20-%20PENAWAR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Vatul\My%20Documents\pagar_rumah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My%20Documents\LAP%20HARGA%20SAT\ANL%20HARGA%20SATUAN\EXCEL-PAHS\PANDUAN%20BQ\EE%20FO%20Pamanukan\3-DIV3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\KUMPULAN%20ANALISA%20HARGA\MY%20PROJECT\PT.%20NARAYANA%20ADICIPTA\FAJAR%20MAKMUR\PENAWARAN%20KARAWAK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KASSAR\TRIBUN\RAB-TRIBUN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RRI\DATA%20KOMPUTER%20IWAN%20(D)%2027%20Juni%2012\My%20Document%20Windat\Perkebunan%20SULBAR\GOWA\GOWA%202010\Kantor%20DPRD%20Gowa%202010\cAmpUr2\Pekerjaan%20Penyelesaian%20B1\File%200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k-d8c40027609\data%20(d)\Documents%20and%20Settings\User\Favorites\My%20Documents\majid\Perumahan%20Borong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Pengkerikilan%20Jalan%20Desa%20(P3DT)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C%20DAK%202010\MC%20CV%20ADAMAL%20DAK%202010%20Laporan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\BUMDES\LAPORAN%20JAN-DES%202024\10%20Oktober\12.Kas%20Umum%20Asli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JAN-DES%202024\10%20Oktober\PEMBUKUAN%20MESIN%20BOR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JAN-DES%202024\DESEMBER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5\01%20JANUARI\01%20JANUARI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PENGELUARAN%20BUMDES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daftar%20aset%20tetap%20tahun%202026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1%20JANUARI\01%20JANUARI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2%20FEBRUARI\02%20FEBRUARI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3%20MARET\03%20MARET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4%20APRIL\04%20APRIL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5%20MEI\05%20MEI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6%20JUNI\06%20JUNI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5\12%20DESEMBER\12%20DESEMBER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1%20JANUARI\Dana%20Cadangan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7%20JULI\07%20JULI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eralatan (3)"/>
      <sheetName val="Peralatan"/>
      <sheetName val="Peralatan (2)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HargaDasar"/>
      <sheetName val="REKAP total"/>
      <sheetName val="REKAP"/>
      <sheetName val="RAB"/>
      <sheetName val="Antek"/>
      <sheetName val="Analisa"/>
      <sheetName val="Analisa SNI"/>
      <sheetName val="Anmob"/>
      <sheetName val="Analisa LS"/>
      <sheetName val="Peralatan"/>
      <sheetName val="AN. SNI"/>
      <sheetName val="TERBIL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HargaDasar"/>
      <sheetName val="REKAP total"/>
      <sheetName val="REKAP"/>
      <sheetName val="RAB"/>
      <sheetName val="Antek"/>
      <sheetName val="Analisa"/>
      <sheetName val="Analisa SNI"/>
      <sheetName val="Anmob"/>
      <sheetName val="Analisa LS"/>
      <sheetName val="Peralatan"/>
      <sheetName val="AN. SNI"/>
      <sheetName val="TERBIL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tala"/>
      <sheetName val="REKAP Tala"/>
      <sheetName val="TERBILANG"/>
      <sheetName val="dimensi saluran"/>
      <sheetName val="Mobilisasi"/>
      <sheetName val="HARGA"/>
      <sheetName val="AN.HARGA SATUAN"/>
      <sheetName val="AN. ALAT"/>
      <sheetName val="Sheet1"/>
      <sheetName val="APBD"/>
      <sheetName val="Sheet2"/>
      <sheetName val="time"/>
      <sheetName val="APBN"/>
      <sheetName val="BOBOT  ok"/>
      <sheetName val="RINCIAN ok"/>
      <sheetName val="mc (ok"/>
      <sheetName val="BOBOT (no"/>
      <sheetName val="RINCIAN no"/>
      <sheetName val="mc np"/>
      <sheetName val="Shee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HargaDasar"/>
      <sheetName val="REKAP total"/>
      <sheetName val="Antek"/>
      <sheetName val="Analisa"/>
      <sheetName val="Analisa SNI"/>
      <sheetName val="Anmob"/>
      <sheetName val="Analisa LS"/>
      <sheetName val="Peralatan"/>
      <sheetName val="AN. SNI"/>
      <sheetName val="TERBIL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Mobilisasi (2)"/>
      <sheetName val="Div2"/>
      <sheetName val="Div3"/>
      <sheetName val="Div4"/>
      <sheetName val="Div5"/>
      <sheetName val="Div6"/>
      <sheetName val="Div7"/>
      <sheetName val="Div8"/>
      <sheetName val="Div9"/>
      <sheetName val="Sheet3"/>
      <sheetName val="Sheet2"/>
      <sheetName val="Sheet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_Suramadu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RIN_BIA"/>
      <sheetName val="HRG-SAT"/>
      <sheetName val="BRK-DWN"/>
      <sheetName val="VENDOR"/>
      <sheetName val="REKAP"/>
      <sheetName val="BQ"/>
      <sheetName val="JAD-PEL"/>
      <sheetName val="JDW-ALAT"/>
      <sheetName val="JAD-ALAT"/>
      <sheetName val="PP"/>
      <sheetName val="RUPA2"/>
      <sheetName val="BU"/>
      <sheetName val="Bi-BANK"/>
      <sheetName val="TOT-TUA"/>
      <sheetName val="PRLTN"/>
      <sheetName val="PRLTN (2)"/>
      <sheetName val="REK-MAT"/>
      <sheetName val="R_PRLT"/>
      <sheetName val="UPAH"/>
      <sheetName val="MTRL"/>
      <sheetName val="Sheet10 (5)"/>
      <sheetName val="Sheet5"/>
      <sheetName val="Sheet10"/>
      <sheetName val="SUBKON"/>
      <sheetName val="SKAT"/>
      <sheetName val="SURAT"/>
      <sheetName val="COVER"/>
      <sheetName val="RBP"/>
      <sheetName val="DISBIA"/>
      <sheetName val="AKP"/>
      <sheetName val="BBM"/>
      <sheetName val="Sheet2"/>
      <sheetName val="RBP_1"/>
      <sheetName val="RBP-SKON"/>
      <sheetName val="R_BOS"/>
      <sheetName val="R_UPH"/>
      <sheetName val="RBP-MAT"/>
      <sheetName val="R_BANK"/>
      <sheetName val="UP_GAJ"/>
      <sheetName val="R_BU"/>
      <sheetName val="R_RUPA"/>
      <sheetName val="R_PP"/>
      <sheetName val="FINAL"/>
      <sheetName val="BOQ"/>
      <sheetName val="SATUAN"/>
      <sheetName val="PRICE"/>
      <sheetName val="SCHEDUL"/>
      <sheetName val="Sheet3"/>
      <sheetName val="ANALISA"/>
      <sheetName val="ANALTEK"/>
      <sheetName val="TENAGA"/>
      <sheetName val="ALAT"/>
      <sheetName val="Skn"/>
      <sheetName val="minat"/>
      <sheetName val="astek"/>
      <sheetName val="Sheet1"/>
      <sheetName val="B.UMUM"/>
      <sheetName val="METHOD"/>
      <sheetName val="SUMMARY"/>
      <sheetName val="SU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.PEN"/>
      <sheetName val="Rekap Biaya"/>
      <sheetName val="RAB"/>
      <sheetName val="Sheet3"/>
      <sheetName val="Perhit Volume"/>
      <sheetName val="Pekerjaan Utama"/>
      <sheetName val="Sheet2"/>
      <sheetName val="REKAP-0"/>
      <sheetName val="RAB-0"/>
      <sheetName val="Ringkasan"/>
      <sheetName val="%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Rekap Biaya"/>
      <sheetName val="Kuantitas &amp; Harga"/>
      <sheetName val="Pekerjaan Utama"/>
      <sheetName val="%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DISCLAIMER"/>
      <sheetName val="Info"/>
      <sheetName val="maj"/>
      <sheetName val="%"/>
      <sheetName val="Peta Quarry"/>
      <sheetName val="Lalu Lintas"/>
      <sheetName val="Jembatan Sementara"/>
      <sheetName val="s pen"/>
      <sheetName val="Rek"/>
      <sheetName val="Rek (2)"/>
      <sheetName val="kuan"/>
      <sheetName val="daftar Rek"/>
      <sheetName val="BOQ"/>
      <sheetName val="BOQ (2)"/>
      <sheetName val="BOQ (3)"/>
      <sheetName val="Mob"/>
      <sheetName val="D2"/>
      <sheetName val="D3"/>
      <sheetName val="D4"/>
      <sheetName val="D5"/>
      <sheetName val="D6"/>
      <sheetName val="D6 (2)"/>
      <sheetName val="D7(1)"/>
      <sheetName val="D7(2)"/>
      <sheetName val="D7(3)"/>
      <sheetName val="D8(1)"/>
      <sheetName val="D8(2)"/>
      <sheetName val="D9"/>
      <sheetName val="D10 LS-Rutin"/>
      <sheetName val="5-Alt rekap"/>
      <sheetName val="5-Alt(1)"/>
      <sheetName val="5-Alt (2)"/>
      <sheetName val="s"/>
      <sheetName val="subMPU"/>
      <sheetName val="TKDN"/>
      <sheetName val="4-sewa alat"/>
      <sheetName val="4-Basic Price"/>
      <sheetName val="4-Anl Quarry"/>
      <sheetName val="Phit.MobAlat"/>
      <sheetName val="4-form harga bhn"/>
      <sheetName val="D6 ASBT"/>
      <sheetName val="D10 Kuantitas"/>
      <sheetName val="D10 Anl HSP"/>
      <sheetName val="AggHls&amp;Ksr"/>
      <sheetName val="Agg A"/>
      <sheetName val="Agg B"/>
      <sheetName val="Agg 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 ASRAMA"/>
      <sheetName val="AnLisa"/>
      <sheetName val="harga"/>
      <sheetName val="SCHEDULE"/>
      <sheetName val="BACKUP"/>
      <sheetName val="Asrama Master"/>
      <sheetName val="Total"/>
      <sheetName val="RKP"/>
      <sheetName val="RAB"/>
      <sheetName val="Analisa"/>
      <sheetName val="-Harga"/>
      <sheetName val="Besi"/>
      <sheetName val="VOLUME"/>
      <sheetName val="@$anT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"/>
      <sheetName val="Bahan"/>
      <sheetName val="Analisa"/>
      <sheetName val="Times"/>
      <sheetName val="Rupiah"/>
      <sheetName val="Daftar Hrg Bahan &amp; upah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RAB"/>
      <sheetName val="Analisa"/>
      <sheetName val="Bahan"/>
      <sheetName val="Times"/>
      <sheetName val="Bahan (2)"/>
      <sheetName val="RAB (2)"/>
      <sheetName val="Daftar Hrg Bahan &amp; upah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"/>
      <sheetName val="RAB Wae Tuo"/>
      <sheetName val="Daftar Harga"/>
      <sheetName val="Analisa K"/>
      <sheetName val="Analisa E"/>
      <sheetName val="Analisa F"/>
      <sheetName val="Times"/>
      <sheetName val="Harga Alat"/>
      <sheetName val="Huruf"/>
      <sheetName val="mc"/>
      <sheetName val="A-Alat Sewa Standart"/>
      <sheetName val="HB "/>
      <sheetName val="time schedu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lokasi 1"/>
      <sheetName val="Sheet1"/>
      <sheetName val="Sheet2"/>
      <sheetName val="Sheet3"/>
      <sheetName val="Analisa"/>
      <sheetName val="Hrg Bahan"/>
      <sheetName val="EE Villa"/>
      <sheetName val="TIME SCHEDULE"/>
      <sheetName val="Volume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Galian Tanah"/>
      <sheetName val="An.K0"/>
      <sheetName val="An.K1"/>
      <sheetName val="An.K2"/>
      <sheetName val="An.K3"/>
      <sheetName val="An.K4"/>
      <sheetName val="An.K5"/>
      <sheetName val="An.K6"/>
      <sheetName val="An.K7"/>
      <sheetName val="An.K8"/>
      <sheetName val="Alat"/>
      <sheetName val="An. Alat"/>
      <sheetName val="Daf. K"/>
      <sheetName val="Analisa Quary"/>
      <sheetName val="Daftar Bahan"/>
      <sheetName val="D. Upah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1.pem.lahan"/>
      <sheetName val="2.KANTOR KEJAKSAAN"/>
      <sheetName val="3.rumah 70"/>
      <sheetName val="4.RUMAH 50 "/>
      <sheetName val="SAMPUL"/>
      <sheetName val="ANALISA-SNI"/>
      <sheetName val="an.alt"/>
      <sheetName val="daft sewa alt"/>
      <sheetName val="an 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Hrg.sat."/>
      <sheetName val="RAB.Ruas-68 (jembt)goi"/>
      <sheetName val="RAB.Ruas-68 (2)"/>
    </sheetNames>
    <sheetDataSet>
      <sheetData sheetId="0"/>
      <sheetData sheetId="1" refreshError="1"/>
      <sheetData sheetId="2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DAFTAR HARGA BARU"/>
      <sheetName val="ANALISA.T"/>
      <sheetName val="perhitingan  limbangan"/>
      <sheetName val="TAMBATAN"/>
      <sheetName val="REKAP TAMBATAN"/>
      <sheetName val="time"/>
      <sheetName val="Sheet1"/>
      <sheetName val="SAMPUL MC (4)"/>
      <sheetName val="MC juni"/>
      <sheetName val="rincian juni"/>
      <sheetName val="BOBOT JUNI"/>
      <sheetName val="BOBOT JUNI (2)"/>
      <sheetName val="BOBOT JUNI (4)"/>
      <sheetName val="BOBOT JUNI (3)"/>
      <sheetName val="BOBOT JUli"/>
      <sheetName val="BOBOT JUli (2)"/>
      <sheetName val="BOBOT JUli (3)"/>
      <sheetName val="BOBOT JUli (4)"/>
      <sheetName val="rincian juli"/>
      <sheetName val="MC juni (2)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Rekap Bajoe (2)"/>
      <sheetName val="Rekap ULOE B"/>
      <sheetName val="Rekap 2009"/>
      <sheetName val="Gudang Uloe1"/>
      <sheetName val="Gudang Bajoe"/>
      <sheetName val="Gudang Bajoe 2009"/>
      <sheetName val="Gudang Uloe B"/>
      <sheetName val="Kantor Pengelola"/>
      <sheetName val="Kantor Pengelola (2)"/>
      <sheetName val="RMH PENJG"/>
      <sheetName val="WC"/>
      <sheetName val="Pos "/>
      <sheetName val="lANTAI jEMUR"/>
      <sheetName val="Pagar"/>
      <sheetName val="Paving"/>
      <sheetName val="penerngan"/>
      <sheetName val="Peralatan Gdg"/>
      <sheetName val="FASIL GDG"/>
      <sheetName val="HBU"/>
      <sheetName val="PERSIAPAN"/>
      <sheetName val="TANAH"/>
      <sheetName val="PONDASI"/>
      <sheetName val="DINDING"/>
      <sheetName val="PLESTERAN"/>
      <sheetName val="KAYU"/>
      <sheetName val="BETON"/>
      <sheetName val="ATAP"/>
      <sheetName val="LANGIT2"/>
      <sheetName val="PIPA &amp; SANITASI"/>
      <sheetName val="BESI"/>
      <sheetName val="KUNCI&amp;KACA"/>
      <sheetName val="LANTAI"/>
      <sheetName val="CAT"/>
      <sheetName val="Listri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RAB01"/>
      <sheetName val="Rekap01"/>
      <sheetName val="RAB02"/>
      <sheetName val="Rekap02"/>
      <sheetName val="RAB03"/>
      <sheetName val="Rekap03"/>
      <sheetName val="RAB04"/>
      <sheetName val="Rekap04"/>
      <sheetName val="RAB05"/>
      <sheetName val="Rekap05"/>
      <sheetName val="Rekap Total"/>
      <sheetName val="Analisa"/>
      <sheetName val="Bahan&amp;Upah"/>
      <sheetName val="Schedule"/>
      <sheetName val="Mobilisasi"/>
      <sheetName val="Network Plan."/>
      <sheetName val="D. Personil"/>
      <sheetName val="D. Peralatan"/>
      <sheetName val="Organisasi Kerja"/>
      <sheetName val="Rab Perbandingan1"/>
      <sheetName val="Rekap Perbandingan"/>
      <sheetName val="Schedule Materi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STRUKTUR"/>
      <sheetName val="ARSITEKTUR"/>
      <sheetName val="ME"/>
      <sheetName val="Sheet1"/>
      <sheetName val="kusen"/>
      <sheetName val="Sheet2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Mobilisasi (2)"/>
      <sheetName val="Div2"/>
      <sheetName val="Div3"/>
      <sheetName val="Div4"/>
      <sheetName val="Div5"/>
      <sheetName val="Div6"/>
      <sheetName val="Div7"/>
      <sheetName val="Div8"/>
      <sheetName val="Div9"/>
      <sheetName val="Sheet3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hrg-jadi"/>
      <sheetName val="REKAP"/>
      <sheetName val="Harga Alat"/>
      <sheetName val="Analisa Alat"/>
      <sheetName val="Pendahuluan"/>
      <sheetName val="AN-GALIAN"/>
      <sheetName val="PONDASI"/>
      <sheetName val="BETON"/>
      <sheetName val="Beton Pracetak"/>
      <sheetName val="Aluminium"/>
      <sheetName val="Dinding"/>
      <sheetName val="Pelasteran"/>
      <sheetName val="Lantai 14"/>
      <sheetName val="KAYU-ATAP BajaRingan"/>
      <sheetName val="KAYU 14"/>
      <sheetName val="PLAPOND"/>
      <sheetName val="KUNCI+KACA"/>
      <sheetName val="CAT"/>
      <sheetName val="Sanitasi 1"/>
      <sheetName val="Pipa"/>
      <sheetName val="Pot. Pipa"/>
      <sheetName val="paving"/>
      <sheetName val="Jl. Lingkungan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DATA TAMBAHAN"/>
      <sheetName val="DISAIN RDS"/>
      <sheetName val="KOEFESIEN"/>
      <sheetName val="Rekap Biaya"/>
      <sheetName val="Kuantitas &amp; Harga"/>
      <sheetName val="Pekerjaan Utama"/>
      <sheetName val="%"/>
      <sheetName val="Informasi"/>
      <sheetName val="Peta Quarry"/>
      <sheetName val="Mobilisasi"/>
      <sheetName val="Perhitungan Mobilisasi Alat"/>
      <sheetName val="Lalu Lintas"/>
      <sheetName val="Jembatan Sementara"/>
      <sheetName val="Additional"/>
      <sheetName val="3-DIV2"/>
      <sheetName val="3-DIV3"/>
      <sheetName val="3-DIV3 (2)"/>
      <sheetName val="3-DIV3 (3)"/>
      <sheetName val="3-DIV3 (4)"/>
      <sheetName val="3-DIV4"/>
      <sheetName val="3-DIV5"/>
      <sheetName val="3-DIV5-LPAS"/>
      <sheetName val="Lean Concr"/>
      <sheetName val="Sand-Bedding"/>
      <sheetName val="3-DIV6"/>
      <sheetName val="3-DIV6 Lasbutag"/>
      <sheetName val="3-DIV7"/>
      <sheetName val="3-DIV7.1"/>
      <sheetName val="3-DIV8"/>
      <sheetName val="3-DIV9"/>
      <sheetName val="3-DIV10 LS-Rutin"/>
      <sheetName val="3-DIV10 Kuantitas"/>
      <sheetName val="3-DIV10 Analisa HSP"/>
      <sheetName val="SPESIFIKASI"/>
      <sheetName val="4-Basic Price"/>
      <sheetName val="4-formulir harga bahan"/>
      <sheetName val="4-Analisa Quarry"/>
      <sheetName val="5-Peralatan"/>
      <sheetName val="5-Peralatan (2)"/>
      <sheetName val="6-Agregat Halus &amp; Kasar"/>
      <sheetName val="6-Agregat Kelas A"/>
      <sheetName val="6-Agregat Kelas B"/>
      <sheetName val="6-Agregat Kelas 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3-DIV2"/>
    </sheetNames>
    <sheetDataSet>
      <sheetData sheetId="0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3-DIV4"/>
    </sheetNames>
    <sheetDataSet>
      <sheetData sheetId="0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RKB"/>
      <sheetName val="Rekap"/>
      <sheetName val="HrgBahan&amp;Analisa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ANALISA-SNI"/>
      <sheetName val="lap-2"/>
      <sheetName val="lap-1"/>
      <sheetName val="rekap pang+me"/>
      <sheetName val="penda"/>
      <sheetName val="K-Depan A1-A2"/>
      <sheetName val="K-BL Brt B1-B2"/>
      <sheetName val="Lods B1`-B2` MUSHALLAH"/>
      <sheetName val="rK-KU C1"/>
      <sheetName val="K-KR Utr C2"/>
      <sheetName val="K-KR Utr C3"/>
      <sheetName val="K-KN Slt D1"/>
      <sheetName val="K-KN Slt D2"/>
      <sheetName val="K-KN Slt D3"/>
      <sheetName val="LK A1"/>
      <sheetName val="LK A5"/>
      <sheetName val="LK B1"/>
      <sheetName val="LK B5"/>
      <sheetName val="LK C1"/>
      <sheetName val="LK C2"/>
      <sheetName val="LK D1"/>
      <sheetName val="LB D2"/>
      <sheetName val="LK E1"/>
      <sheetName val="LK F1"/>
      <sheetName val="rLK A2"/>
      <sheetName val="rLK A3"/>
      <sheetName val="rLK A4"/>
      <sheetName val="rLK B2-B3"/>
      <sheetName val="rLK B4"/>
      <sheetName val="rLK C3-C4"/>
      <sheetName val="rLK C5-C6"/>
      <sheetName val="rLK D3-D4"/>
      <sheetName val="rLK D5-D6"/>
      <sheetName val="rLK E2"/>
      <sheetName val="rLB E3"/>
      <sheetName val="rLK F2-F3"/>
      <sheetName val="Pelataran"/>
      <sheetName val="Sls Utama-1"/>
      <sheetName val="WC"/>
      <sheetName val="PAVING"/>
      <sheetName val="MEK.ELEK"/>
      <sheetName val="3"/>
      <sheetName val="2"/>
      <sheetName val="1"/>
      <sheetName val="REKAP JEN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Analisa K"/>
      <sheetName val="JALAN"/>
      <sheetName val="Harga Bahan"/>
      <sheetName val="Analisa SNI"/>
      <sheetName val="K122"/>
      <sheetName val="K 124"/>
      <sheetName val="K 410A"/>
      <sheetName val="K 902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Analisa K"/>
      <sheetName val="JALAN"/>
    </sheetNames>
    <sheetDataSet>
      <sheetData sheetId="0"/>
      <sheetData sheetId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ANALISA PANGKEP"/>
      <sheetName val="rab dipakai"/>
      <sheetName val="SAMPUL"/>
      <sheetName val="link"/>
      <sheetName val="Analisa Alat"/>
      <sheetName val="Daft.Sewa Alat"/>
      <sheetName val="analisa-K"/>
      <sheetName val="rab tot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S.PUL (2)"/>
      <sheetName val="UPAH"/>
      <sheetName val="Sheet1"/>
      <sheetName val="SAMPUL"/>
      <sheetName val="rekap  perubahan (2)"/>
      <sheetName val="rekap  perubahan"/>
      <sheetName val="PERHIT"/>
      <sheetName val="rab KANTOR"/>
      <sheetName val="rekap total"/>
      <sheetName val="SHELTER A"/>
      <sheetName val="Rekap  SHELTER a"/>
      <sheetName val="SHELTER  b"/>
      <sheetName val="Rekap shelter  b"/>
      <sheetName val="PERJITU. PINTU GRB"/>
      <sheetName val="PINTU GERBANG"/>
      <sheetName val="Rekap GERBANG"/>
      <sheetName val="SHELTER c  JADI"/>
      <sheetName val="REKAP SHELTER c  JADI "/>
      <sheetName val="perhitungan pgr"/>
      <sheetName val="pagar  (2)"/>
      <sheetName val="Rekap  pagar (2)"/>
      <sheetName val="pagar "/>
      <sheetName val="Rekap  pagar"/>
      <sheetName val="pengadaaan "/>
      <sheetName val="PEKAP PENGADAAN"/>
      <sheetName val="rab BUNGORO 2014"/>
      <sheetName val="time"/>
      <sheetName val="rekap BUNGOR"/>
      <sheetName val="BAHAN"/>
      <sheetName val="BOBOT"/>
      <sheetName val="BOBOT (2)"/>
      <sheetName val="rincian"/>
      <sheetName val="MC"/>
      <sheetName val="timeer"/>
      <sheetName val="perhi halte misten"/>
      <sheetName val="AN. SNI"/>
      <sheetName val="Sheet4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Master"/>
      <sheetName val="Rekap"/>
      <sheetName val="RAB "/>
      <sheetName val="Bahan"/>
      <sheetName val="Analisa"/>
      <sheetName val="Rekap_Kantor_Camat"/>
      <sheetName val="RAB_Camat"/>
      <sheetName val="Vol_Camat"/>
      <sheetName val="Besi_Camat"/>
      <sheetName val="Bil_Camat"/>
      <sheetName val="Rekap_Mushallah"/>
      <sheetName val="RAB_Mushallah"/>
      <sheetName val="Vol_Mushallah"/>
      <sheetName val="Besi_Mushallah"/>
      <sheetName val="Bil_Mushallah"/>
      <sheetName val="MVC"/>
      <sheetName val="HRG"/>
      <sheetName val="AN"/>
      <sheetName val="RAB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NP"/>
      <sheetName val="Additional"/>
      <sheetName val="Gal_Cold Milling"/>
      <sheetName val="Gal_Jack Hammer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SCHEDULE"/>
      <sheetName val="REKAP"/>
      <sheetName val="RAB"/>
      <sheetName val="ANALAISA"/>
      <sheetName val="D. HARG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ANALISA"/>
      <sheetName val="TRIBUN"/>
      <sheetName val="Rekap"/>
    </sheetNames>
    <sheetDataSet>
      <sheetData sheetId="0"/>
      <sheetData sheetId="1" refreshError="1"/>
      <sheetData sheetId="2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HBU"/>
      <sheetName val="UP"/>
      <sheetName val="pabrikasi kayu"/>
    </sheetNames>
    <sheetDataSet>
      <sheetData sheetId="0"/>
      <sheetData sheetId="1"/>
      <sheetData sheetId="2"/>
      <sheetData sheetId="3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terbilang"/>
      <sheetName val="Type 232"/>
      <sheetName val="Type 90"/>
      <sheetName val="Type 54"/>
      <sheetName val="Type 45"/>
      <sheetName val="SLTPN 3 Asrama TRU"/>
      <sheetName val="Upah &amp; Bahan"/>
      <sheetName val="Analisa-SMU &amp; SLTP"/>
      <sheetName val="Recap Anggar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"/>
      <sheetName val="Rekap Masamba"/>
      <sheetName val="RAB Masamba"/>
      <sheetName val="Daftar Harga"/>
      <sheetName val="Analisa K"/>
      <sheetName val="Analisa E"/>
      <sheetName val="Analisa F"/>
      <sheetName val="Times (2)"/>
      <sheetName val="Harga Alat"/>
      <sheetName val="Huruf"/>
      <sheetName val="Date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POLA"/>
      <sheetName val="Sheet3"/>
      <sheetName val="Sheet1"/>
      <sheetName val="RAB"/>
      <sheetName val="Mingguan"/>
      <sheetName val="Bulanan"/>
      <sheetName val="MC"/>
      <sheetName val="Recab MC"/>
      <sheetName val="Schedule"/>
      <sheetName val="Sampul &amp; BA CCO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Data Pokok"/>
      <sheetName val="BB-BPD"/>
      <sheetName val="BK-UMUM"/>
      <sheetName val="BK-HARIAN SPP"/>
      <sheetName val="Inven"/>
      <sheetName val="Inven (2)"/>
      <sheetName val="Nerc"/>
      <sheetName val="Opr"/>
      <sheetName val="Perk_Pinj"/>
      <sheetName val="Buku Simpan Pinjam"/>
      <sheetName val="RPD"/>
      <sheetName val="BB-BRI"/>
      <sheetName val="Arus Dana Reguler"/>
      <sheetName val="BK-HARIAN"/>
    </sheetNames>
    <sheetDataSet>
      <sheetData sheetId="0" refreshError="1">
        <row r="2">
          <cell r="A2" t="str">
            <v>BADAN USAHA MILIK DESA BATUPUTE</v>
          </cell>
        </row>
        <row r="10">
          <cell r="A10" t="str">
            <v>Desa / Kecamatan</v>
          </cell>
        </row>
        <row r="10">
          <cell r="D10" t="str">
            <v>Batupute</v>
          </cell>
        </row>
        <row r="11">
          <cell r="A11" t="str">
            <v>Kabupaten</v>
          </cell>
        </row>
        <row r="11">
          <cell r="D11" t="str">
            <v>BARRU</v>
          </cell>
        </row>
        <row r="12">
          <cell r="A12" t="str">
            <v>Provinsi</v>
          </cell>
        </row>
        <row r="12">
          <cell r="D12" t="str">
            <v>SULAWESI SELATAN</v>
          </cell>
        </row>
        <row r="74">
          <cell r="C74" t="str">
            <v>DAFTAR INVENTARIS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TOKO TANI"/>
      <sheetName val="NERACA"/>
      <sheetName val="REKAP"/>
      <sheetName val="RUGI LABA "/>
      <sheetName val="RL JAN-DES"/>
      <sheetName val="KASHAR"/>
      <sheetName val="MODUS"/>
      <sheetName val="MULTI"/>
      <sheetName val="BRILink"/>
      <sheetName val="INVEN"/>
      <sheetName val="BARJAS "/>
      <sheetName val="GAS"/>
      <sheetName val="BOR"/>
      <sheetName val="MOLEN"/>
      <sheetName val="BIAYA OPERASIONAL"/>
      <sheetName val="SH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REKAP"/>
      <sheetName val="BRILink"/>
      <sheetName val="INVEN"/>
      <sheetName val="BARJAS "/>
      <sheetName val="GAS"/>
      <sheetName val="BOR"/>
      <sheetName val="MOLEN"/>
      <sheetName val="BIAYA OPERASIONAL"/>
      <sheetName val="Gaji Pengawas"/>
      <sheetName val="Gaji Pegawai"/>
      <sheetName val="PESTISIDA"/>
      <sheetName val="PESTISIDA (2)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titik satu"/>
      <sheetName val="titik kedua"/>
      <sheetName val="titik ketiga"/>
      <sheetName val="titik ke empat"/>
      <sheetName val="titik kelima"/>
      <sheetName val="titik ke enam"/>
      <sheetName val="titik ketujuh (2)"/>
      <sheetName val="titik ketujuh"/>
      <sheetName val="titik 1"/>
      <sheetName val="titik 2"/>
      <sheetName val="titik 3"/>
      <sheetName val="titik 4"/>
      <sheetName val="titik 5"/>
      <sheetName val="titik 6"/>
      <sheetName val="titik 7"/>
      <sheetName val="titik 8"/>
      <sheetName val="PENG. GALUNG JAMPU TAHAP KE 2"/>
      <sheetName val="PENG. LOMPO E TAHAP KE (2)"/>
      <sheetName val="Mantanaice bor air"/>
      <sheetName val=" LOMPO E"/>
      <sheetName val="Pengeluaran LPJ"/>
      <sheetName val="Sheet1 (6)"/>
      <sheetName val="SALURAN AIR UJUNGE"/>
    </sheetNames>
    <sheetDataSet>
      <sheetData sheetId="0">
        <row r="31">
          <cell r="G31">
            <v>7885500</v>
          </cell>
        </row>
      </sheetData>
      <sheetData sheetId="1">
        <row r="26">
          <cell r="G26">
            <v>7621000</v>
          </cell>
        </row>
      </sheetData>
      <sheetData sheetId="2">
        <row r="20">
          <cell r="G20">
            <v>5607500</v>
          </cell>
        </row>
      </sheetData>
      <sheetData sheetId="3"/>
      <sheetData sheetId="4">
        <row r="20">
          <cell r="G20">
            <v>5507000</v>
          </cell>
        </row>
      </sheetData>
      <sheetData sheetId="5">
        <row r="18">
          <cell r="G18">
            <v>5207000</v>
          </cell>
        </row>
      </sheetData>
      <sheetData sheetId="6"/>
      <sheetData sheetId="7">
        <row r="29">
          <cell r="G29">
            <v>10692500</v>
          </cell>
        </row>
      </sheetData>
      <sheetData sheetId="8">
        <row r="16">
          <cell r="G16">
            <v>8219000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>
        <row r="53">
          <cell r="G53">
            <v>31420000</v>
          </cell>
        </row>
      </sheetData>
      <sheetData sheetId="17"/>
      <sheetData sheetId="18">
        <row r="34">
          <cell r="G34">
            <v>18072000</v>
          </cell>
        </row>
      </sheetData>
      <sheetData sheetId="19">
        <row r="16">
          <cell r="G16">
            <v>39425000</v>
          </cell>
        </row>
      </sheetData>
      <sheetData sheetId="20"/>
      <sheetData sheetId="21"/>
      <sheetData sheetId="22"/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INVEN (2)"/>
    </sheetNames>
    <sheetDataSet>
      <sheetData sheetId="0">
        <row r="187">
          <cell r="G187">
            <v>310608000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BIAYA OPERASIONAL"/>
      <sheetName val="REKAP"/>
      <sheetName val="BRILink"/>
      <sheetName val="INVENTARIS"/>
      <sheetName val="Gaji Pengawas"/>
      <sheetName val="Gaji Pegawai"/>
      <sheetName val="TOKO BENGKEL"/>
      <sheetName val="titik 3"/>
      <sheetName val="titik 4"/>
      <sheetName val="titik 5"/>
      <sheetName val="titik 6"/>
      <sheetName val="titik 7"/>
      <sheetName val="titik 8"/>
      <sheetName val="PENG. GALUNG JAMPU TAHAP KE 2"/>
      <sheetName val="Mantanaice bor air"/>
      <sheetName val="Sheet1"/>
      <sheetName val="PESTISIDA"/>
    </sheetNames>
    <sheetDataSet>
      <sheetData sheetId="0"/>
      <sheetData sheetId="1">
        <row r="9">
          <cell r="C9">
            <v>8815913</v>
          </cell>
        </row>
        <row r="10">
          <cell r="C10">
            <v>800000</v>
          </cell>
        </row>
        <row r="11">
          <cell r="C11">
            <v>195000</v>
          </cell>
        </row>
        <row r="12">
          <cell r="C12">
            <v>3403256</v>
          </cell>
        </row>
        <row r="13">
          <cell r="C13">
            <v>3631205</v>
          </cell>
        </row>
        <row r="16">
          <cell r="C16">
            <v>232302</v>
          </cell>
        </row>
        <row r="23">
          <cell r="C23">
            <v>7850000</v>
          </cell>
        </row>
        <row r="24">
          <cell r="C24">
            <v>1600000</v>
          </cell>
        </row>
        <row r="25">
          <cell r="C25">
            <v>1100000</v>
          </cell>
        </row>
        <row r="26">
          <cell r="C26">
            <v>1345000</v>
          </cell>
        </row>
        <row r="26">
          <cell r="F26">
            <v>16176633.3333333</v>
          </cell>
        </row>
        <row r="28">
          <cell r="C28">
            <v>4281633.33333334</v>
          </cell>
        </row>
      </sheetData>
      <sheetData sheetId="2"/>
      <sheetData sheetId="3">
        <row r="12">
          <cell r="Q12">
            <v>4070000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REKAP"/>
      <sheetName val="BRILink"/>
      <sheetName val="BIAYA OPERASIONAL"/>
      <sheetName val="Gaji Pengawas"/>
      <sheetName val="Gaji Pegawai"/>
      <sheetName val="TOKO BENGKEL"/>
      <sheetName val="INVEN (2)"/>
      <sheetName val="titik 3"/>
      <sheetName val="titik 4"/>
      <sheetName val="titik 5"/>
      <sheetName val="titik 6"/>
      <sheetName val="titik 7"/>
      <sheetName val="titik 8"/>
      <sheetName val="PENG. GALUNG JAMPU TAHAP KE 2"/>
      <sheetName val="Mantanaice bor air"/>
      <sheetName val="Sheet1"/>
      <sheetName val="PESTISIDA"/>
    </sheetNames>
    <sheetDataSet>
      <sheetData sheetId="0"/>
      <sheetData sheetId="1">
        <row r="9">
          <cell r="C9">
            <v>7794055</v>
          </cell>
        </row>
        <row r="10">
          <cell r="C10">
            <v>800000</v>
          </cell>
        </row>
        <row r="11">
          <cell r="C11">
            <v>30000</v>
          </cell>
        </row>
        <row r="12">
          <cell r="C12">
            <v>4175520</v>
          </cell>
        </row>
        <row r="13">
          <cell r="C13">
            <v>3306497</v>
          </cell>
        </row>
        <row r="16">
          <cell r="C16">
            <v>226450</v>
          </cell>
        </row>
        <row r="26">
          <cell r="C26">
            <v>650000</v>
          </cell>
        </row>
        <row r="28">
          <cell r="C28">
            <v>4281633.33333334</v>
          </cell>
        </row>
      </sheetData>
      <sheetData sheetId="2"/>
      <sheetData sheetId="3"/>
      <sheetData sheetId="4"/>
      <sheetData sheetId="5"/>
      <sheetData sheetId="6">
        <row r="8">
          <cell r="I8">
            <v>4175520</v>
          </cell>
          <cell r="J8">
            <v>15481633.3333333</v>
          </cell>
        </row>
        <row r="9">
          <cell r="I9">
            <v>7794055</v>
          </cell>
        </row>
        <row r="10">
          <cell r="I10">
            <v>3306497</v>
          </cell>
        </row>
        <row r="12">
          <cell r="I12">
            <v>800000</v>
          </cell>
        </row>
        <row r="14">
          <cell r="I14">
            <v>30000</v>
          </cell>
        </row>
        <row r="15">
          <cell r="I15">
            <v>226450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BIAYA OPERASIONAL"/>
      <sheetName val="REKAP"/>
      <sheetName val="BRILink"/>
      <sheetName val="INVENTARIS"/>
      <sheetName val="Gaji Pengawas"/>
      <sheetName val="Gaji Pegawai"/>
      <sheetName val="TOKO BENGKEL"/>
      <sheetName val="Sheet1"/>
      <sheetName val="titik 3"/>
      <sheetName val="titik 4"/>
      <sheetName val="titik 5"/>
      <sheetName val="titik 6"/>
      <sheetName val="titik 7"/>
      <sheetName val="titik 8"/>
      <sheetName val="PENG. GALUNG JAMPU TAHAP KE 2"/>
      <sheetName val="PENG. LOMPO E TAHAP KE (2)"/>
      <sheetName val="Mantanaice bor air"/>
      <sheetName val="PESTISIDA"/>
      <sheetName val="Sheet1 (2)"/>
    </sheetNames>
    <sheetDataSet>
      <sheetData sheetId="0"/>
      <sheetData sheetId="1">
        <row r="9">
          <cell r="C9">
            <v>7005396</v>
          </cell>
        </row>
        <row r="10">
          <cell r="C10">
            <v>800000</v>
          </cell>
        </row>
        <row r="12">
          <cell r="C12">
            <v>2957700</v>
          </cell>
        </row>
        <row r="13">
          <cell r="C13">
            <v>4016780</v>
          </cell>
        </row>
        <row r="14">
          <cell r="C14">
            <v>2675000</v>
          </cell>
        </row>
        <row r="16">
          <cell r="C16">
            <v>378000</v>
          </cell>
        </row>
        <row r="26">
          <cell r="C26">
            <v>1575000</v>
          </cell>
        </row>
        <row r="28">
          <cell r="C28">
            <v>4281633</v>
          </cell>
        </row>
      </sheetData>
      <sheetData sheetId="2"/>
      <sheetData sheetId="3"/>
      <sheetData sheetId="4"/>
      <sheetData sheetId="5"/>
      <sheetData sheetId="6"/>
      <sheetData sheetId="7">
        <row r="8">
          <cell r="O8">
            <v>2957700</v>
          </cell>
          <cell r="P8">
            <v>16406633</v>
          </cell>
        </row>
        <row r="9">
          <cell r="O9">
            <v>7005396</v>
          </cell>
        </row>
        <row r="10">
          <cell r="O10">
            <v>4016780</v>
          </cell>
        </row>
        <row r="11">
          <cell r="O11">
            <v>2675000</v>
          </cell>
        </row>
        <row r="12">
          <cell r="O12">
            <v>800000</v>
          </cell>
        </row>
        <row r="15">
          <cell r="O15">
            <v>378000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2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BIAYA OPERASIONAL"/>
      <sheetName val="MODUS"/>
      <sheetName val="MULTI"/>
      <sheetName val="REKAP"/>
      <sheetName val="BRILink"/>
      <sheetName val="Gaji Pengawas"/>
      <sheetName val="Gaji Pegawai"/>
      <sheetName val="TOKO BENGKEL"/>
      <sheetName val="INVENTARIS"/>
      <sheetName val="titik 3"/>
      <sheetName val="titik 4"/>
      <sheetName val="titik 5"/>
      <sheetName val="titik 6"/>
      <sheetName val="titik 7"/>
      <sheetName val="titik 8"/>
      <sheetName val="PENG. GALUNG JAMPU TAHAP KE 2"/>
      <sheetName val="PENG. LOMPO E TAHAP KE (2)"/>
      <sheetName val="Mantanaice bor air"/>
      <sheetName val="Sheet1"/>
      <sheetName val="PESTISIDA"/>
    </sheetNames>
    <sheetDataSet>
      <sheetData sheetId="0"/>
      <sheetData sheetId="1">
        <row r="9">
          <cell r="C9">
            <v>7404097</v>
          </cell>
        </row>
        <row r="10">
          <cell r="C10">
            <v>800000</v>
          </cell>
        </row>
        <row r="12">
          <cell r="C12">
            <v>4162140</v>
          </cell>
        </row>
        <row r="13">
          <cell r="C13">
            <v>7447000</v>
          </cell>
        </row>
        <row r="14">
          <cell r="C14">
            <v>2500000</v>
          </cell>
        </row>
        <row r="16">
          <cell r="C16">
            <v>387240</v>
          </cell>
        </row>
        <row r="26">
          <cell r="C26">
            <v>1890000</v>
          </cell>
        </row>
        <row r="28">
          <cell r="C28">
            <v>4281633.33333334</v>
          </cell>
        </row>
      </sheetData>
      <sheetData sheetId="2"/>
      <sheetData sheetId="3"/>
      <sheetData sheetId="4"/>
      <sheetData sheetId="5"/>
      <sheetData sheetId="6"/>
      <sheetData sheetId="7">
        <row r="22">
          <cell r="C22">
            <v>4162140</v>
          </cell>
        </row>
        <row r="23">
          <cell r="C23">
            <v>7404097</v>
          </cell>
        </row>
        <row r="24">
          <cell r="C24">
            <v>7447000</v>
          </cell>
        </row>
        <row r="25">
          <cell r="C25">
            <v>2500000</v>
          </cell>
        </row>
        <row r="26">
          <cell r="C26">
            <v>800000</v>
          </cell>
        </row>
        <row r="29">
          <cell r="C29">
            <v>387240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3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BIAYA OPERASIONAL"/>
      <sheetName val="MULTI"/>
      <sheetName val="REKAP"/>
      <sheetName val="BRILink"/>
      <sheetName val="Gaji Pengawas"/>
      <sheetName val="Gaji Pegawai"/>
      <sheetName val="TOKO BENGKEL"/>
      <sheetName val="INVEN (2)"/>
      <sheetName val="titik 3"/>
      <sheetName val="titik 4"/>
      <sheetName val="titik 5"/>
      <sheetName val="titik 6"/>
      <sheetName val="titik 7"/>
      <sheetName val="titik 8"/>
      <sheetName val="PENG. GALUNG JAMPU TAHAP KE 2"/>
      <sheetName val="PENG. LOMPO E TAHAP KE (2)"/>
      <sheetName val="Mantanaice bor air"/>
      <sheetName val="DAF JUAL PESTISIDA"/>
      <sheetName val="PESTISIDA"/>
      <sheetName val="Sheet1"/>
      <sheetName val="PESTISIDA (2)"/>
    </sheetNames>
    <sheetDataSet>
      <sheetData sheetId="0"/>
      <sheetData sheetId="1">
        <row r="9">
          <cell r="C9">
            <v>6592431</v>
          </cell>
        </row>
        <row r="10">
          <cell r="C10">
            <v>800000</v>
          </cell>
        </row>
        <row r="12">
          <cell r="C12">
            <v>4614400</v>
          </cell>
        </row>
        <row r="13">
          <cell r="C13">
            <v>3984169</v>
          </cell>
        </row>
        <row r="15">
          <cell r="C15">
            <v>11702600</v>
          </cell>
        </row>
        <row r="16">
          <cell r="C16">
            <v>380282</v>
          </cell>
        </row>
        <row r="26">
          <cell r="C26">
            <v>1950000</v>
          </cell>
        </row>
        <row r="28">
          <cell r="C28">
            <v>4361633.33333334</v>
          </cell>
        </row>
      </sheetData>
      <sheetData sheetId="2"/>
      <sheetData sheetId="3">
        <row r="17">
          <cell r="Q17">
            <v>84686800</v>
          </cell>
        </row>
      </sheetData>
      <sheetData sheetId="4"/>
      <sheetData sheetId="5"/>
      <sheetData sheetId="6"/>
      <sheetData sheetId="7">
        <row r="22">
          <cell r="I22">
            <v>4614400</v>
          </cell>
          <cell r="J22">
            <v>17361633.3333333</v>
          </cell>
        </row>
        <row r="23">
          <cell r="I23">
            <v>6592431</v>
          </cell>
        </row>
        <row r="24">
          <cell r="I24">
            <v>3984169</v>
          </cell>
        </row>
        <row r="27">
          <cell r="I27">
            <v>11702600</v>
          </cell>
        </row>
        <row r="29">
          <cell r="I29">
            <v>380282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54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BIAYA OPERASIONAL"/>
      <sheetName val="REKAP"/>
      <sheetName val="BRILink"/>
      <sheetName val="Gaji Pengawas"/>
      <sheetName val="Gaji Pegawai"/>
      <sheetName val="TOKO BENGKEL"/>
      <sheetName val="titik 1"/>
      <sheetName val="titik 2"/>
      <sheetName val="titik 3"/>
      <sheetName val="titik 4"/>
      <sheetName val="titik 5"/>
      <sheetName val="titik 6"/>
      <sheetName val="titik 7"/>
      <sheetName val="titik 8"/>
      <sheetName val="PENG. GALUNG JAMPU TAHAP KE 2"/>
      <sheetName val="PENG. LOMPO E TAHAP KE (2)"/>
      <sheetName val="Mantanaice bor air"/>
      <sheetName val="INVEN (2)"/>
      <sheetName val="Sheet1"/>
      <sheetName val="PESTISIDA (2)"/>
    </sheetNames>
    <sheetDataSet>
      <sheetData sheetId="0"/>
      <sheetData sheetId="1">
        <row r="9">
          <cell r="C9">
            <v>7836460</v>
          </cell>
        </row>
        <row r="12">
          <cell r="C12">
            <v>2596470</v>
          </cell>
        </row>
        <row r="13">
          <cell r="C13">
            <v>3541666</v>
          </cell>
        </row>
        <row r="14">
          <cell r="C14">
            <v>2739000</v>
          </cell>
        </row>
        <row r="16">
          <cell r="C16">
            <v>402234</v>
          </cell>
        </row>
        <row r="26">
          <cell r="C26">
            <v>1200000</v>
          </cell>
        </row>
        <row r="28">
          <cell r="C28">
            <v>4391050</v>
          </cell>
        </row>
      </sheetData>
      <sheetData sheetId="2"/>
      <sheetData sheetId="3"/>
      <sheetData sheetId="4"/>
      <sheetData sheetId="5"/>
      <sheetData sheetId="6"/>
      <sheetData sheetId="7">
        <row r="22">
          <cell r="O22">
            <v>2596470</v>
          </cell>
          <cell r="P22">
            <v>16141050</v>
          </cell>
        </row>
        <row r="23">
          <cell r="O23">
            <v>7836460</v>
          </cell>
        </row>
        <row r="24">
          <cell r="O24">
            <v>3541666</v>
          </cell>
        </row>
        <row r="25">
          <cell r="O25">
            <v>2739000</v>
          </cell>
        </row>
        <row r="26">
          <cell r="O26">
            <v>800000</v>
          </cell>
        </row>
        <row r="29">
          <cell r="O29">
            <v>402234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55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REKAP"/>
      <sheetName val="BRILink"/>
      <sheetName val="INVEN"/>
      <sheetName val="BARJAS "/>
      <sheetName val="GAS"/>
      <sheetName val="BOR"/>
      <sheetName val="MOLEN"/>
      <sheetName val="BIAYA OPERASIONAL"/>
      <sheetName val="Gaji Pengawas"/>
      <sheetName val="Gaji Pegawai"/>
      <sheetName val="PESTISIDA tahap 1"/>
      <sheetName val="PESTISIDA (2)"/>
      <sheetName val="TAHAP 2"/>
      <sheetName val="PESTISIDA (3)"/>
      <sheetName val="Tahap ke 3"/>
      <sheetName val="Tahap ke 4"/>
      <sheetName val="TOKO BENGK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1">
          <cell r="C31">
            <v>20922800</v>
          </cell>
        </row>
      </sheetData>
      <sheetData sheetId="22"/>
    </sheetDataSet>
  </externalBook>
</externalLink>
</file>

<file path=xl/externalLinks/externalLink56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5">
          <cell r="C15">
            <v>4569675.2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REKAP"/>
      <sheetName val="BRILink"/>
      <sheetName val="BIAYA OPERASIONAL"/>
      <sheetName val="Gaji Pengawas"/>
      <sheetName val="Gaji Pegawai"/>
      <sheetName val="TOKO BENGKEL"/>
      <sheetName val="INVENTARIS"/>
      <sheetName val="titik 1"/>
      <sheetName val="titik 2"/>
      <sheetName val="titik 3"/>
      <sheetName val="titik 4"/>
      <sheetName val="titik 5"/>
      <sheetName val="titik 6"/>
      <sheetName val="titik 7"/>
      <sheetName val="titik 8"/>
      <sheetName val="PENG. GALUNG JAMPU TAHAP KE 2"/>
      <sheetName val="PENG. LOMPO E TAHAP KE (2)"/>
      <sheetName val="Mantanaice bor air"/>
      <sheetName val="Pengadaan barang dan jasa"/>
      <sheetName val="Sheet1"/>
      <sheetName val="PESTISIDA (2)"/>
    </sheetNames>
    <sheetDataSet>
      <sheetData sheetId="0"/>
      <sheetData sheetId="1">
        <row r="9">
          <cell r="C9">
            <v>7310479</v>
          </cell>
        </row>
        <row r="10">
          <cell r="C10">
            <v>800000</v>
          </cell>
        </row>
        <row r="12">
          <cell r="C12">
            <v>3467450</v>
          </cell>
        </row>
        <row r="13">
          <cell r="C13">
            <v>3540668</v>
          </cell>
        </row>
        <row r="14">
          <cell r="C14">
            <v>1910000</v>
          </cell>
        </row>
        <row r="16">
          <cell r="C16">
            <v>497903</v>
          </cell>
        </row>
        <row r="26">
          <cell r="C26">
            <v>2180000</v>
          </cell>
        </row>
        <row r="28">
          <cell r="C28">
            <v>4260216.66666667</v>
          </cell>
        </row>
      </sheetData>
      <sheetData sheetId="2"/>
      <sheetData sheetId="3">
        <row r="199">
          <cell r="W199">
            <v>21333240.216667</v>
          </cell>
        </row>
      </sheetData>
      <sheetData sheetId="4"/>
      <sheetData sheetId="5"/>
      <sheetData sheetId="6">
        <row r="36">
          <cell r="C36">
            <v>3467450</v>
          </cell>
          <cell r="D36">
            <v>16990216.6666667</v>
          </cell>
        </row>
        <row r="37">
          <cell r="C37">
            <v>7310479</v>
          </cell>
        </row>
        <row r="38">
          <cell r="C38">
            <v>3540668</v>
          </cell>
        </row>
        <row r="39">
          <cell r="C39">
            <v>1910000</v>
          </cell>
        </row>
        <row r="40">
          <cell r="C40">
            <v>800000</v>
          </cell>
        </row>
        <row r="43">
          <cell r="C43">
            <v>497903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9"/>
  <sheetViews>
    <sheetView view="pageLayout" zoomScale="80" zoomScaleSheetLayoutView="110" zoomScaleNormal="90" workbookViewId="0">
      <selection activeCell="G5" sqref="G5"/>
    </sheetView>
  </sheetViews>
  <sheetFormatPr defaultColWidth="9" defaultRowHeight="14.5"/>
  <cols>
    <col min="1" max="1" width="5.86363636363636" style="565" customWidth="1"/>
    <col min="2" max="2" width="27.7090909090909" customWidth="1"/>
    <col min="3" max="3" width="2.57272727272727" hidden="1" customWidth="1"/>
    <col min="4" max="4" width="12.2818181818182" style="619" customWidth="1"/>
    <col min="5" max="5" width="14.7090909090909" style="900" customWidth="1"/>
    <col min="6" max="6" width="6" style="844" customWidth="1"/>
    <col min="7" max="7" width="24.2818181818182" style="619" customWidth="1"/>
    <col min="8" max="8" width="17.9545454545455" style="619" customWidth="1"/>
    <col min="9" max="9" width="18.8545454545455" customWidth="1"/>
    <col min="10" max="10" width="18" customWidth="1"/>
    <col min="11" max="11" width="19.5727272727273" customWidth="1"/>
    <col min="12" max="12" width="17" customWidth="1"/>
    <col min="13" max="13" width="17.5727272727273" customWidth="1"/>
    <col min="14" max="14" width="15" customWidth="1"/>
    <col min="15" max="15" width="13.8545454545455" customWidth="1"/>
    <col min="16" max="16" width="15.4272727272727" customWidth="1"/>
    <col min="17" max="17" width="16.8545454545455" customWidth="1"/>
    <col min="18" max="18" width="11" customWidth="1"/>
  </cols>
  <sheetData>
    <row r="1" s="898" customFormat="1" ht="13.5" customHeight="1" spans="1:17">
      <c r="A1" s="687" t="s">
        <v>0</v>
      </c>
      <c r="B1" s="687"/>
      <c r="C1" s="687"/>
      <c r="D1" s="687"/>
      <c r="E1" s="687"/>
      <c r="F1" s="687"/>
      <c r="G1" s="687"/>
      <c r="H1" s="687"/>
      <c r="I1" s="691"/>
      <c r="J1" s="811"/>
    </row>
    <row r="2" s="898" customFormat="1" ht="12.75" customHeight="1" spans="1:17">
      <c r="A2" s="687" t="s">
        <v>1</v>
      </c>
      <c r="B2" s="687"/>
      <c r="C2" s="687"/>
      <c r="D2" s="687"/>
      <c r="E2" s="687"/>
      <c r="F2" s="687"/>
      <c r="G2" s="687"/>
      <c r="H2" s="687"/>
      <c r="I2" s="691"/>
      <c r="J2" s="811"/>
    </row>
    <row r="3" s="898" customFormat="1" ht="12.75" customHeight="1" spans="1:17">
      <c r="A3" s="687" t="s">
        <v>2</v>
      </c>
      <c r="B3" s="687"/>
      <c r="C3" s="687"/>
      <c r="D3" s="687"/>
      <c r="E3" s="687"/>
      <c r="F3" s="687"/>
      <c r="G3" s="687"/>
      <c r="H3" s="687"/>
      <c r="J3" s="811"/>
    </row>
    <row r="4" s="898" customFormat="1" spans="1:17">
      <c r="A4" s="901"/>
      <c r="B4" s="558"/>
      <c r="D4" s="811"/>
      <c r="E4" s="902"/>
      <c r="F4" s="903"/>
      <c r="G4" s="811"/>
      <c r="H4" s="811"/>
      <c r="I4" s="904"/>
      <c r="J4" s="811"/>
    </row>
    <row r="5" s="898" customFormat="1" spans="1:17">
      <c r="A5" s="901"/>
      <c r="B5" s="558"/>
      <c r="D5" s="811"/>
      <c r="E5" s="902"/>
      <c r="F5" s="903"/>
      <c r="G5" s="811"/>
      <c r="H5" s="811"/>
      <c r="I5" s="904"/>
      <c r="J5" s="905"/>
    </row>
    <row r="6" s="898" customFormat="1" spans="1:17">
      <c r="A6" s="901"/>
      <c r="B6" s="558"/>
      <c r="D6" s="811"/>
      <c r="E6" s="902"/>
      <c r="F6" s="903"/>
      <c r="G6" s="811"/>
      <c r="H6" s="811"/>
      <c r="I6" s="904"/>
      <c r="J6" s="811"/>
    </row>
    <row r="7" s="898" customFormat="1" ht="15.25" spans="1:17">
      <c r="A7" s="901"/>
      <c r="B7" s="558"/>
      <c r="D7" s="811"/>
      <c r="E7" s="902"/>
      <c r="F7" s="903"/>
      <c r="G7" s="811"/>
      <c r="H7" s="811"/>
      <c r="I7" s="904"/>
      <c r="J7" s="811"/>
    </row>
    <row r="8" s="899" customFormat="1" ht="18" customHeight="1" spans="1:17">
      <c r="A8" s="906" t="s">
        <v>3</v>
      </c>
      <c r="B8" s="907"/>
      <c r="C8" s="907"/>
      <c r="D8" s="907"/>
      <c r="E8" s="908"/>
      <c r="F8" s="909" t="s">
        <v>4</v>
      </c>
      <c r="G8" s="910"/>
      <c r="H8" s="911"/>
      <c r="I8" s="912"/>
      <c r="J8" s="913"/>
      <c r="K8" s="914"/>
      <c r="L8" s="915"/>
      <c r="M8" s="916"/>
      <c r="N8" s="916"/>
      <c r="O8" s="916"/>
      <c r="P8" s="917"/>
    </row>
    <row r="9" s="899" customFormat="1" ht="18" customHeight="1" spans="1:17">
      <c r="A9" s="918" t="s">
        <v>5</v>
      </c>
      <c r="B9" s="919" t="s">
        <v>6</v>
      </c>
      <c r="C9" s="920"/>
      <c r="D9" s="921"/>
      <c r="E9" s="922"/>
      <c r="F9" s="923" t="s">
        <v>7</v>
      </c>
      <c r="G9" s="924" t="s">
        <v>8</v>
      </c>
      <c r="H9" s="925"/>
      <c r="I9" s="926"/>
      <c r="J9" s="927"/>
      <c r="K9" s="914"/>
      <c r="L9" s="915"/>
      <c r="M9" s="928"/>
      <c r="N9" s="929"/>
      <c r="O9" s="916"/>
      <c r="P9" s="930"/>
    </row>
    <row r="10" s="899" customFormat="1" ht="18" customHeight="1" spans="1:17">
      <c r="A10" s="931" t="s">
        <v>9</v>
      </c>
      <c r="B10" s="932" t="s">
        <v>10</v>
      </c>
      <c r="C10" s="933"/>
      <c r="D10" s="934"/>
      <c r="E10" s="935"/>
      <c r="F10" s="936" t="s">
        <v>11</v>
      </c>
      <c r="G10" s="937" t="s">
        <v>12</v>
      </c>
      <c r="H10" s="938">
        <f>SUM(REKAP!F68)</f>
        <v>15050178.25</v>
      </c>
      <c r="I10" s="926"/>
      <c r="J10" s="927"/>
      <c r="K10" s="914"/>
      <c r="L10" s="915"/>
      <c r="M10" s="928"/>
      <c r="N10" s="929"/>
      <c r="O10" s="916"/>
      <c r="P10" s="930"/>
    </row>
    <row r="11" s="899" customFormat="1" ht="18" customHeight="1" spans="1:17">
      <c r="A11" s="939" t="s">
        <v>13</v>
      </c>
      <c r="B11" s="940" t="s">
        <v>14</v>
      </c>
      <c r="C11" s="941"/>
      <c r="D11" s="942"/>
      <c r="E11" s="943"/>
      <c r="F11" s="936" t="s">
        <v>15</v>
      </c>
      <c r="G11" s="937" t="s">
        <v>16</v>
      </c>
      <c r="H11" s="938">
        <f>SUM(REKAP!G68)</f>
        <v>4013380.86666666</v>
      </c>
      <c r="I11" s="917"/>
      <c r="J11" s="944"/>
      <c r="K11" s="945"/>
      <c r="L11" s="915"/>
      <c r="M11" s="916"/>
      <c r="N11" s="915"/>
      <c r="P11" s="917"/>
      <c r="Q11" s="917"/>
    </row>
    <row r="12" s="899" customFormat="1" ht="18" customHeight="1" spans="1:17">
      <c r="A12" s="939" t="s">
        <v>17</v>
      </c>
      <c r="B12" s="940" t="s">
        <v>18</v>
      </c>
      <c r="C12" s="946"/>
      <c r="D12" s="942"/>
      <c r="E12" s="947">
        <f>SUM(KASHAR!W174)</f>
        <v>51053772.216667</v>
      </c>
      <c r="F12" s="936" t="s">
        <v>19</v>
      </c>
      <c r="G12" s="948" t="s">
        <v>20</v>
      </c>
      <c r="H12" s="949">
        <f>SUM(REKAP!H68)</f>
        <v>1003345.21666667</v>
      </c>
      <c r="I12" s="917"/>
      <c r="J12" s="944"/>
      <c r="K12" s="945"/>
      <c r="L12" s="915"/>
      <c r="M12" s="916"/>
      <c r="N12" s="915"/>
      <c r="P12" s="917"/>
      <c r="Q12" s="917"/>
    </row>
    <row r="13" s="899" customFormat="1" ht="18" customHeight="1" spans="1:17">
      <c r="A13" s="939"/>
      <c r="B13" s="940" t="s">
        <v>21</v>
      </c>
      <c r="C13" s="950"/>
      <c r="D13" s="942"/>
      <c r="E13" s="943">
        <f>SUM(E11:E12)</f>
        <v>51053772.216667</v>
      </c>
      <c r="F13" s="936"/>
      <c r="G13" s="948" t="s">
        <v>22</v>
      </c>
      <c r="H13" s="951">
        <f>SUM(H10:H12)</f>
        <v>20066904.3333333</v>
      </c>
      <c r="I13" s="917"/>
      <c r="J13" s="944"/>
      <c r="K13" s="945"/>
      <c r="L13" s="915"/>
      <c r="M13" s="916"/>
      <c r="N13" s="915"/>
      <c r="P13" s="917"/>
      <c r="Q13" s="917"/>
    </row>
    <row r="14" s="899" customFormat="1" ht="18" customHeight="1" spans="1:17">
      <c r="A14" s="939"/>
      <c r="B14" s="940"/>
      <c r="C14" s="950"/>
      <c r="D14" s="942"/>
      <c r="E14" s="943"/>
      <c r="F14" s="952" t="s">
        <v>23</v>
      </c>
      <c r="G14" s="953" t="s">
        <v>24</v>
      </c>
      <c r="H14" s="949"/>
      <c r="I14" s="917"/>
      <c r="J14" s="944"/>
      <c r="K14" s="945"/>
      <c r="L14" s="915"/>
      <c r="M14" s="916"/>
      <c r="N14" s="915"/>
      <c r="P14" s="917"/>
      <c r="Q14" s="917"/>
    </row>
    <row r="15" s="899" customFormat="1" ht="18" customHeight="1" spans="1:17">
      <c r="A15" s="954" t="s">
        <v>25</v>
      </c>
      <c r="B15" s="955" t="s">
        <v>26</v>
      </c>
      <c r="C15" s="956"/>
      <c r="D15" s="942"/>
      <c r="E15" s="943"/>
      <c r="F15" s="952" t="s">
        <v>27</v>
      </c>
      <c r="G15" s="953" t="s">
        <v>28</v>
      </c>
      <c r="H15" s="949"/>
      <c r="I15" s="917"/>
      <c r="J15" s="957"/>
      <c r="K15" s="917"/>
      <c r="L15" s="915"/>
      <c r="M15" s="916"/>
      <c r="N15" s="915"/>
      <c r="P15" s="917"/>
      <c r="Q15" s="958"/>
    </row>
    <row r="16" s="899" customFormat="1" ht="18" customHeight="1" spans="1:17">
      <c r="A16" s="939" t="s">
        <v>29</v>
      </c>
      <c r="B16" s="940" t="s">
        <v>30</v>
      </c>
      <c r="C16" s="959"/>
      <c r="D16" s="942"/>
      <c r="E16" s="960">
        <v>55562530</v>
      </c>
      <c r="F16" s="961" t="s">
        <v>31</v>
      </c>
      <c r="G16" s="962" t="s">
        <v>32</v>
      </c>
      <c r="H16" s="949">
        <v>1186803</v>
      </c>
      <c r="I16" s="963"/>
      <c r="J16" s="964"/>
      <c r="K16" s="917"/>
      <c r="L16" s="915"/>
      <c r="M16" s="916"/>
      <c r="N16" s="915"/>
      <c r="P16" s="965"/>
      <c r="Q16" s="966"/>
    </row>
    <row r="17" s="899" customFormat="1" ht="18" customHeight="1" spans="1:17">
      <c r="A17" s="939" t="s">
        <v>33</v>
      </c>
      <c r="B17" s="940" t="s">
        <v>34</v>
      </c>
      <c r="C17" s="950"/>
      <c r="D17" s="942"/>
      <c r="E17" s="947">
        <v>549503</v>
      </c>
      <c r="F17" s="961" t="s">
        <v>35</v>
      </c>
      <c r="G17" s="962" t="s">
        <v>36</v>
      </c>
      <c r="H17" s="949">
        <v>4659495</v>
      </c>
      <c r="I17" s="963"/>
      <c r="J17" s="964">
        <f>[45]REKAP!$F$75</f>
        <v>0</v>
      </c>
      <c r="K17" s="917"/>
      <c r="L17" s="915"/>
      <c r="M17" s="916"/>
      <c r="N17" s="915"/>
      <c r="P17" s="965"/>
      <c r="Q17" s="966"/>
    </row>
    <row r="18" s="899" customFormat="1" ht="18" customHeight="1" spans="1:17">
      <c r="A18" s="939"/>
      <c r="B18" s="940" t="s">
        <v>37</v>
      </c>
      <c r="C18" s="950"/>
      <c r="D18" s="942"/>
      <c r="E18" s="943">
        <f>SUM(E16:E17)</f>
        <v>56112033</v>
      </c>
      <c r="F18" s="961" t="s">
        <v>38</v>
      </c>
      <c r="G18" s="962" t="s">
        <v>39</v>
      </c>
      <c r="H18" s="949">
        <v>12940985</v>
      </c>
      <c r="I18" s="967"/>
      <c r="J18" s="957">
        <f>E16-J17</f>
        <v>55562530</v>
      </c>
      <c r="K18" s="915"/>
      <c r="L18" s="915"/>
      <c r="M18" s="916"/>
      <c r="N18" s="915"/>
      <c r="P18" s="967"/>
      <c r="Q18" s="966"/>
    </row>
    <row r="19" s="899" customFormat="1" ht="18" customHeight="1" spans="1:17">
      <c r="A19" s="939"/>
      <c r="B19" s="940"/>
      <c r="C19" s="950"/>
      <c r="D19" s="942"/>
      <c r="E19" s="943"/>
      <c r="F19" s="961" t="s">
        <v>40</v>
      </c>
      <c r="G19" s="962" t="s">
        <v>41</v>
      </c>
      <c r="H19" s="949">
        <v>29810954</v>
      </c>
      <c r="I19" s="968"/>
      <c r="J19" s="969"/>
      <c r="K19" s="917"/>
      <c r="L19" s="915"/>
      <c r="M19" s="917"/>
      <c r="P19" s="968"/>
      <c r="Q19" s="958"/>
    </row>
    <row r="20" s="899" customFormat="1" ht="18" customHeight="1" spans="1:17">
      <c r="A20" s="954" t="s">
        <v>42</v>
      </c>
      <c r="B20" s="955" t="s">
        <v>43</v>
      </c>
      <c r="C20" s="970"/>
      <c r="D20" s="971">
        <f>SUM('[48]INVEN (2)'!$G$187)</f>
        <v>310608000</v>
      </c>
      <c r="E20" s="943"/>
      <c r="F20" s="961" t="s">
        <v>44</v>
      </c>
      <c r="G20" s="962" t="s">
        <v>45</v>
      </c>
      <c r="H20" s="949">
        <v>31861941</v>
      </c>
      <c r="I20" s="968"/>
      <c r="J20" s="969"/>
      <c r="K20" s="917"/>
      <c r="L20" s="915"/>
      <c r="M20" s="917"/>
      <c r="P20" s="968"/>
      <c r="Q20" s="958"/>
    </row>
    <row r="21" s="899" customFormat="1" ht="18" customHeight="1" spans="1:17">
      <c r="A21" s="939" t="s">
        <v>46</v>
      </c>
      <c r="B21" s="940" t="s">
        <v>47</v>
      </c>
      <c r="C21" s="941"/>
      <c r="D21" s="942">
        <f>SUM(INVENTARIS!R195)</f>
        <v>63046783.1666667</v>
      </c>
      <c r="E21" s="947"/>
      <c r="F21" s="961" t="s">
        <v>48</v>
      </c>
      <c r="G21" s="962" t="s">
        <v>49</v>
      </c>
      <c r="H21" s="949">
        <v>31326534</v>
      </c>
      <c r="I21" s="968"/>
      <c r="J21" s="969"/>
      <c r="K21" s="917"/>
      <c r="L21" s="915"/>
      <c r="M21" s="917"/>
      <c r="P21" s="968"/>
      <c r="Q21" s="958"/>
    </row>
    <row r="22" s="899" customFormat="1" ht="18" customHeight="1" spans="1:17">
      <c r="A22" s="939" t="s">
        <v>50</v>
      </c>
      <c r="B22" s="940" t="s">
        <v>51</v>
      </c>
      <c r="C22" s="941"/>
      <c r="D22" s="942"/>
      <c r="E22" s="943">
        <f>SUM(INVENTARIS!R196)</f>
        <v>247561216.833333</v>
      </c>
      <c r="F22" s="961" t="s">
        <v>52</v>
      </c>
      <c r="G22" s="962" t="s">
        <v>53</v>
      </c>
      <c r="H22" s="949">
        <v>40014708</v>
      </c>
      <c r="I22" s="967"/>
      <c r="J22" s="972"/>
      <c r="K22" s="917"/>
      <c r="L22" s="973"/>
      <c r="M22" s="973"/>
      <c r="N22" s="915"/>
      <c r="P22" s="967"/>
      <c r="Q22" s="958"/>
    </row>
    <row r="23" s="899" customFormat="1" ht="18" customHeight="1" spans="1:17">
      <c r="A23" s="939"/>
      <c r="B23" s="940"/>
      <c r="C23" s="941"/>
      <c r="D23" s="942"/>
      <c r="E23" s="943"/>
      <c r="F23" s="961" t="s">
        <v>54</v>
      </c>
      <c r="G23" s="962" t="s">
        <v>55</v>
      </c>
      <c r="H23" s="949">
        <v>26027431</v>
      </c>
      <c r="I23" s="967"/>
      <c r="J23" s="974"/>
      <c r="K23" s="917"/>
      <c r="L23" s="973"/>
      <c r="M23" s="973"/>
      <c r="N23" s="915"/>
      <c r="P23" s="967"/>
      <c r="Q23" s="968"/>
    </row>
    <row r="24" s="899" customFormat="1" ht="18" customHeight="1" spans="1:17">
      <c r="A24" s="939"/>
      <c r="B24" s="940"/>
      <c r="C24" s="941"/>
      <c r="D24" s="942"/>
      <c r="E24" s="943"/>
      <c r="F24" s="961" t="s">
        <v>56</v>
      </c>
      <c r="G24" s="962" t="s">
        <v>57</v>
      </c>
      <c r="H24" s="949">
        <v>29437299</v>
      </c>
      <c r="I24" s="967"/>
      <c r="J24" s="974"/>
      <c r="K24" s="917"/>
      <c r="L24" s="973"/>
      <c r="M24" s="973"/>
      <c r="N24" s="915"/>
      <c r="P24" s="967"/>
      <c r="Q24" s="968"/>
    </row>
    <row r="25" s="899" customFormat="1" ht="18" customHeight="1" spans="1:17">
      <c r="A25" s="939"/>
      <c r="B25" s="940"/>
      <c r="C25" s="941"/>
      <c r="D25" s="942"/>
      <c r="E25" s="943"/>
      <c r="F25" s="961"/>
      <c r="G25" s="962" t="s">
        <v>22</v>
      </c>
      <c r="H25" s="975">
        <f>SUM(H16:H24)</f>
        <v>207266150</v>
      </c>
      <c r="I25" s="928"/>
      <c r="J25" s="976"/>
      <c r="K25" s="968"/>
      <c r="L25" s="916"/>
      <c r="M25" s="916"/>
      <c r="Q25" s="917"/>
    </row>
    <row r="26" s="899" customFormat="1" ht="18" customHeight="1" spans="1:17">
      <c r="A26" s="954" t="s">
        <v>58</v>
      </c>
      <c r="B26" s="955" t="s">
        <v>59</v>
      </c>
      <c r="C26" s="977"/>
      <c r="D26" s="942"/>
      <c r="E26" s="947"/>
      <c r="F26" s="952" t="s">
        <v>60</v>
      </c>
      <c r="G26" s="953" t="s">
        <v>61</v>
      </c>
      <c r="H26" s="949"/>
      <c r="I26" s="917"/>
      <c r="J26" s="978"/>
      <c r="K26" s="928"/>
      <c r="L26" s="928"/>
      <c r="M26" s="916"/>
      <c r="N26" s="915"/>
      <c r="P26" s="917"/>
      <c r="Q26" s="968"/>
    </row>
    <row r="27" s="899" customFormat="1" ht="18" customHeight="1" spans="1:17">
      <c r="A27" s="939" t="s">
        <v>62</v>
      </c>
      <c r="B27" s="940" t="s">
        <v>63</v>
      </c>
      <c r="C27" s="941"/>
      <c r="D27" s="942"/>
      <c r="E27" s="947">
        <f>SUM(MODUS!J160)</f>
        <v>617812062</v>
      </c>
      <c r="F27" s="961" t="s">
        <v>64</v>
      </c>
      <c r="G27" s="962" t="s">
        <v>65</v>
      </c>
      <c r="H27" s="949">
        <v>30000000</v>
      </c>
      <c r="I27" s="979"/>
      <c r="J27" s="976"/>
      <c r="K27" s="963"/>
      <c r="L27" s="928"/>
      <c r="M27" s="915"/>
      <c r="N27" s="916"/>
      <c r="P27" s="980"/>
      <c r="Q27" s="981"/>
    </row>
    <row r="28" s="899" customFormat="1" ht="18" customHeight="1" spans="1:17">
      <c r="A28" s="939" t="s">
        <v>66</v>
      </c>
      <c r="B28" s="940" t="s">
        <v>67</v>
      </c>
      <c r="C28" s="941"/>
      <c r="D28" s="942"/>
      <c r="E28" s="982">
        <v>61950250</v>
      </c>
      <c r="F28" s="961" t="s">
        <v>68</v>
      </c>
      <c r="G28" s="948" t="s">
        <v>69</v>
      </c>
      <c r="H28" s="949">
        <v>98340000</v>
      </c>
      <c r="I28" s="917">
        <f>E27+E30</f>
        <v>932761499</v>
      </c>
      <c r="J28" s="983">
        <v>20190000</v>
      </c>
      <c r="K28" s="984"/>
      <c r="L28" s="985"/>
      <c r="M28" s="915"/>
      <c r="N28" s="916"/>
      <c r="P28" s="980"/>
      <c r="Q28" s="981"/>
    </row>
    <row r="29" s="899" customFormat="1" ht="18" customHeight="1" spans="1:17">
      <c r="A29" s="939" t="s">
        <v>70</v>
      </c>
      <c r="B29" s="940" t="s">
        <v>71</v>
      </c>
      <c r="C29" s="941"/>
      <c r="D29" s="942"/>
      <c r="E29" s="986">
        <f>SUM(14073208+396000-175000)</f>
        <v>14294208</v>
      </c>
      <c r="F29" s="961" t="s">
        <v>72</v>
      </c>
      <c r="G29" s="948" t="s">
        <v>73</v>
      </c>
      <c r="H29" s="949">
        <v>130000000</v>
      </c>
      <c r="I29" s="928"/>
      <c r="J29" s="983">
        <f>E31-J28</f>
        <v>42310000</v>
      </c>
      <c r="K29" s="981"/>
      <c r="L29" s="917"/>
      <c r="M29" s="915"/>
      <c r="N29" s="916"/>
      <c r="P29" s="980"/>
      <c r="Q29" s="981"/>
    </row>
    <row r="30" s="899" customFormat="1" ht="18" customHeight="1" spans="1:17">
      <c r="A30" s="939" t="s">
        <v>74</v>
      </c>
      <c r="B30" s="940" t="s">
        <v>75</v>
      </c>
      <c r="C30" s="941"/>
      <c r="D30" s="942"/>
      <c r="E30" s="947">
        <f>SUM(MULTI!P57)</f>
        <v>314949437</v>
      </c>
      <c r="F30" s="961" t="s">
        <v>76</v>
      </c>
      <c r="G30" s="948" t="s">
        <v>77</v>
      </c>
      <c r="H30" s="949">
        <v>220232350</v>
      </c>
      <c r="I30" s="928"/>
      <c r="J30" s="976">
        <v>5690000</v>
      </c>
      <c r="K30" s="915">
        <v>38890000</v>
      </c>
      <c r="L30" s="987"/>
      <c r="M30" s="915"/>
      <c r="N30" s="916"/>
      <c r="O30" s="916"/>
      <c r="P30" s="980"/>
      <c r="Q30" s="917"/>
    </row>
    <row r="31" s="899" customFormat="1" ht="18" customHeight="1" spans="1:17">
      <c r="A31" s="939" t="s">
        <v>78</v>
      </c>
      <c r="B31" s="940" t="s">
        <v>79</v>
      </c>
      <c r="C31" s="941"/>
      <c r="D31" s="942"/>
      <c r="E31" s="553">
        <v>62500000</v>
      </c>
      <c r="F31" s="961" t="s">
        <v>80</v>
      </c>
      <c r="G31" s="948" t="s">
        <v>81</v>
      </c>
      <c r="H31" s="949">
        <v>46905500</v>
      </c>
      <c r="I31" s="928"/>
      <c r="J31" s="976">
        <f>K30+J30</f>
        <v>44580000</v>
      </c>
      <c r="K31" s="915"/>
      <c r="L31" s="987"/>
      <c r="M31" s="915"/>
      <c r="N31" s="916"/>
      <c r="P31" s="980"/>
      <c r="Q31" s="917"/>
    </row>
    <row r="32" s="899" customFormat="1" ht="18" customHeight="1" spans="1:17">
      <c r="A32" s="939" t="s">
        <v>82</v>
      </c>
      <c r="B32" s="940" t="s">
        <v>83</v>
      </c>
      <c r="C32" s="941"/>
      <c r="D32" s="942"/>
      <c r="E32" s="947">
        <f>SUM(KASHAR!R174)</f>
        <v>409000</v>
      </c>
      <c r="F32" s="961" t="s">
        <v>84</v>
      </c>
      <c r="G32" s="948" t="s">
        <v>85</v>
      </c>
      <c r="H32" s="949">
        <v>135766650</v>
      </c>
      <c r="I32" s="988"/>
      <c r="J32" s="976">
        <v>1940549</v>
      </c>
      <c r="K32" s="989"/>
      <c r="L32" s="990"/>
      <c r="M32" s="916"/>
      <c r="N32" s="917"/>
      <c r="P32" s="988"/>
      <c r="Q32" s="917"/>
    </row>
    <row r="33" s="899" customFormat="1" ht="18" customHeight="1" spans="1:18">
      <c r="A33" s="939" t="s">
        <v>86</v>
      </c>
      <c r="B33" s="940" t="s">
        <v>87</v>
      </c>
      <c r="C33" s="941"/>
      <c r="D33" s="942"/>
      <c r="E33" s="947">
        <f>SUM(KASHAR!Q174)</f>
        <v>234492900</v>
      </c>
      <c r="F33" s="961" t="s">
        <v>88</v>
      </c>
      <c r="G33" s="948" t="s">
        <v>89</v>
      </c>
      <c r="H33" s="949">
        <v>200000000</v>
      </c>
      <c r="I33" s="988"/>
      <c r="J33" s="976"/>
      <c r="K33" s="989"/>
      <c r="L33" s="990"/>
      <c r="M33" s="916"/>
      <c r="N33" s="917"/>
      <c r="P33" s="988"/>
      <c r="Q33" s="917"/>
    </row>
    <row r="34" s="899" customFormat="1" ht="18" customHeight="1" spans="1:18">
      <c r="A34" s="991" t="s">
        <v>90</v>
      </c>
      <c r="B34" s="940" t="s">
        <v>91</v>
      </c>
      <c r="C34" s="941"/>
      <c r="D34" s="942"/>
      <c r="E34" s="992">
        <v>55000000</v>
      </c>
      <c r="F34" s="993" t="s">
        <v>92</v>
      </c>
      <c r="G34" s="948" t="s">
        <v>93</v>
      </c>
      <c r="H34" s="949">
        <v>220000000</v>
      </c>
      <c r="I34" s="988"/>
      <c r="J34" s="976">
        <f>E31-1500000</f>
        <v>61000000</v>
      </c>
      <c r="K34" s="989"/>
      <c r="L34" s="990"/>
      <c r="M34" s="916"/>
      <c r="N34" s="917"/>
      <c r="P34" s="988"/>
      <c r="Q34" s="917"/>
    </row>
    <row r="35" s="899" customFormat="1" ht="18" customHeight="1" spans="1:18">
      <c r="A35" s="940" t="s">
        <v>94</v>
      </c>
      <c r="B35" s="940" t="s">
        <v>95</v>
      </c>
      <c r="C35" s="940"/>
      <c r="D35" s="940"/>
      <c r="E35" s="962">
        <v>3500000</v>
      </c>
      <c r="F35" s="993" t="s">
        <v>96</v>
      </c>
      <c r="G35" s="948" t="s">
        <v>97</v>
      </c>
      <c r="H35" s="949">
        <v>343500000</v>
      </c>
      <c r="I35" s="988"/>
      <c r="J35" s="976"/>
      <c r="K35" s="989"/>
      <c r="L35" s="990"/>
      <c r="M35" s="916"/>
      <c r="N35" s="917"/>
      <c r="P35" s="988"/>
      <c r="Q35" s="917"/>
    </row>
    <row r="36" s="899" customFormat="1" ht="18" customHeight="1" spans="1:18">
      <c r="A36" s="940"/>
      <c r="B36" s="940"/>
      <c r="C36" s="940"/>
      <c r="D36" s="940"/>
      <c r="E36" s="962"/>
      <c r="F36" s="993" t="s">
        <v>98</v>
      </c>
      <c r="G36" s="948" t="s">
        <v>99</v>
      </c>
      <c r="H36" s="949">
        <v>55000000</v>
      </c>
      <c r="I36" s="988">
        <f>SUM(H28:H36)</f>
        <v>1449744500</v>
      </c>
      <c r="J36" s="976"/>
      <c r="K36" s="989"/>
      <c r="L36" s="990"/>
      <c r="M36" s="916"/>
      <c r="N36" s="917"/>
      <c r="P36" s="988"/>
      <c r="Q36" s="917"/>
    </row>
    <row r="37" s="899" customFormat="1" ht="18" customHeight="1" spans="1:18">
      <c r="A37" s="994" t="s">
        <v>100</v>
      </c>
      <c r="B37" s="940" t="s">
        <v>101</v>
      </c>
      <c r="C37" s="941"/>
      <c r="D37" s="942"/>
      <c r="E37" s="992">
        <f>SUM(KASHAR!S174)</f>
        <v>63177675.2</v>
      </c>
      <c r="F37" s="993" t="s">
        <v>102</v>
      </c>
      <c r="G37" s="962" t="s">
        <v>103</v>
      </c>
      <c r="H37" s="995">
        <v>75000000</v>
      </c>
      <c r="I37" s="988">
        <f>SUM(H28:H35)</f>
        <v>1394744500</v>
      </c>
      <c r="J37" s="976"/>
      <c r="K37" s="989"/>
      <c r="L37" s="990"/>
      <c r="M37" s="916"/>
      <c r="N37" s="917"/>
      <c r="P37" s="988"/>
      <c r="Q37" s="917"/>
    </row>
    <row r="38" s="899" customFormat="1" ht="18" customHeight="1" spans="1:18">
      <c r="A38" s="994"/>
      <c r="B38" s="940" t="s">
        <v>22</v>
      </c>
      <c r="C38" s="941"/>
      <c r="D38" s="942"/>
      <c r="E38" s="996">
        <f>SUM(E27:E37)</f>
        <v>1428085532.2</v>
      </c>
      <c r="F38" s="993" t="s">
        <v>104</v>
      </c>
      <c r="G38" s="997" t="s">
        <v>105</v>
      </c>
      <c r="H38" s="998">
        <v>735000</v>
      </c>
      <c r="I38" s="988"/>
      <c r="J38" s="976"/>
      <c r="K38" s="989"/>
      <c r="L38" s="990"/>
      <c r="M38" s="916"/>
      <c r="N38" s="917"/>
      <c r="P38" s="988"/>
      <c r="Q38" s="917"/>
    </row>
    <row r="39" s="899" customFormat="1" ht="18" customHeight="1" spans="1:18">
      <c r="A39" s="994"/>
      <c r="B39" s="940"/>
      <c r="C39" s="941"/>
      <c r="D39" s="942"/>
      <c r="E39" s="996"/>
      <c r="F39" s="993"/>
      <c r="G39" s="997" t="s">
        <v>22</v>
      </c>
      <c r="H39" s="998">
        <f>SUM(H27:H38)</f>
        <v>1555479500</v>
      </c>
      <c r="I39" s="988"/>
      <c r="J39" s="976"/>
      <c r="K39" s="989"/>
      <c r="L39" s="990"/>
      <c r="M39" s="916"/>
      <c r="N39" s="917"/>
      <c r="P39" s="988"/>
      <c r="Q39" s="917"/>
    </row>
    <row r="40" s="899" customFormat="1" ht="18" customHeight="1" spans="1:18">
      <c r="A40" s="999"/>
      <c r="B40" s="1000"/>
      <c r="C40" s="1001"/>
      <c r="D40" s="1002"/>
      <c r="E40" s="1003"/>
      <c r="F40" s="993" t="s">
        <v>106</v>
      </c>
      <c r="G40" s="997" t="s">
        <v>107</v>
      </c>
      <c r="H40" s="1004">
        <f>SUM('RL JAN-DES'!C35)</f>
        <v>20066904.3333333</v>
      </c>
      <c r="I40" s="988"/>
      <c r="J40" s="976"/>
      <c r="K40" s="989"/>
      <c r="L40" s="990"/>
      <c r="M40" s="916"/>
      <c r="N40" s="917"/>
      <c r="P40" s="988"/>
      <c r="Q40" s="917"/>
    </row>
    <row r="41" s="899" customFormat="1" ht="18" customHeight="1" spans="1:18">
      <c r="A41" s="999"/>
      <c r="B41" s="1000"/>
      <c r="C41" s="1001"/>
      <c r="D41" s="1002"/>
      <c r="E41" s="1005"/>
      <c r="F41" s="993" t="s">
        <v>108</v>
      </c>
      <c r="G41" s="962" t="s">
        <v>109</v>
      </c>
      <c r="H41" s="1006"/>
      <c r="I41" s="988"/>
      <c r="J41" s="976">
        <f>SUM(E31+I44)</f>
        <v>62500000.0833333</v>
      </c>
      <c r="K41" s="989"/>
      <c r="L41" s="990"/>
      <c r="M41" s="916"/>
      <c r="N41" s="917"/>
      <c r="P41" s="988"/>
      <c r="Q41" s="917"/>
    </row>
    <row r="42" s="899" customFormat="1" ht="18" customHeight="1" spans="1:18">
      <c r="A42" s="999"/>
      <c r="B42" s="1000"/>
      <c r="C42" s="1001"/>
      <c r="D42" s="1002"/>
      <c r="E42" s="1005"/>
      <c r="F42" s="940"/>
      <c r="G42" s="940"/>
      <c r="H42" s="940"/>
      <c r="I42" s="988"/>
      <c r="J42" s="976"/>
      <c r="K42" s="989"/>
      <c r="L42" s="990"/>
      <c r="M42" s="916"/>
      <c r="N42" s="917"/>
      <c r="P42" s="988"/>
      <c r="Q42" s="917"/>
    </row>
    <row r="43" s="899" customFormat="1" ht="18" customHeight="1" spans="1:18">
      <c r="A43" s="1007" t="s">
        <v>110</v>
      </c>
      <c r="B43" s="1008"/>
      <c r="C43" s="1008"/>
      <c r="D43" s="1008"/>
      <c r="E43" s="1009">
        <f>SUM(E13+E18+E21+E22+E38)</f>
        <v>1782812554.25</v>
      </c>
      <c r="F43" s="1010" t="s">
        <v>111</v>
      </c>
      <c r="G43" s="1011"/>
      <c r="H43" s="1012">
        <f>SUM(H25+H39+H40)</f>
        <v>1782812554.33333</v>
      </c>
      <c r="I43" s="917">
        <f>E11+I44</f>
        <v>0.0833332538604736</v>
      </c>
      <c r="J43" s="976"/>
      <c r="K43" s="917"/>
      <c r="L43" s="915"/>
      <c r="M43" s="916"/>
      <c r="N43" s="916"/>
      <c r="P43" s="1013"/>
      <c r="Q43" s="917"/>
      <c r="R43" s="990"/>
    </row>
    <row r="44" s="898" customFormat="1" spans="1:18">
      <c r="A44" s="558"/>
      <c r="D44" s="811"/>
      <c r="E44" s="902"/>
      <c r="F44" s="903"/>
      <c r="G44" s="811"/>
      <c r="H44" s="1014" t="s">
        <v>112</v>
      </c>
      <c r="I44" s="811">
        <f>H43-E43</f>
        <v>0.0833332538604736</v>
      </c>
      <c r="J44" s="904"/>
      <c r="K44" s="904">
        <f>E11-I47</f>
        <v>0.0833332538604736</v>
      </c>
      <c r="P44" s="1015"/>
      <c r="Q44" s="904"/>
    </row>
    <row r="45" s="898" customFormat="1" spans="1:18">
      <c r="A45" s="695" t="s">
        <v>113</v>
      </c>
      <c r="B45" s="695"/>
      <c r="C45" s="695"/>
      <c r="D45" s="695"/>
      <c r="E45" s="695"/>
      <c r="F45" s="695"/>
      <c r="G45" s="695"/>
      <c r="H45" s="695"/>
      <c r="I45" s="811"/>
      <c r="J45" s="904"/>
      <c r="K45" s="904"/>
      <c r="P45" s="1015"/>
      <c r="Q45" s="904"/>
    </row>
    <row r="46" s="898" customFormat="1" spans="1:18">
      <c r="A46" s="695" t="s">
        <v>114</v>
      </c>
      <c r="B46" s="695"/>
      <c r="C46" s="695"/>
      <c r="D46" s="695"/>
      <c r="E46" s="695"/>
      <c r="F46" s="695"/>
      <c r="G46" s="695"/>
      <c r="H46" s="695"/>
      <c r="I46" s="811"/>
      <c r="J46" s="904"/>
      <c r="K46" s="904"/>
      <c r="P46" s="1015"/>
      <c r="Q46" s="904"/>
    </row>
    <row r="47" s="898" customFormat="1" spans="1:18">
      <c r="A47" s="695" t="s">
        <v>115</v>
      </c>
      <c r="B47" s="695"/>
      <c r="C47" s="695"/>
      <c r="D47" s="843"/>
      <c r="E47" s="1016"/>
      <c r="F47" s="903"/>
      <c r="G47" s="843"/>
      <c r="H47" s="843" t="s">
        <v>116</v>
      </c>
      <c r="I47" s="904">
        <f>E43-H43</f>
        <v>-0.0833332538604736</v>
      </c>
      <c r="J47" s="904" t="e">
        <f>I47-#REF!</f>
        <v>#REF!</v>
      </c>
      <c r="K47" s="904">
        <f>KASHAR!Y178</f>
        <v>0</v>
      </c>
      <c r="L47" s="1017"/>
    </row>
    <row r="48" s="898" customFormat="1" spans="1:18">
      <c r="A48" s="558"/>
      <c r="B48" s="695"/>
      <c r="C48" s="695"/>
      <c r="D48" s="843"/>
      <c r="E48" s="1016"/>
      <c r="F48" s="903"/>
      <c r="G48" s="843"/>
      <c r="H48" s="843"/>
      <c r="I48" s="904">
        <f>I28</f>
        <v>932761499</v>
      </c>
      <c r="J48" s="905"/>
      <c r="K48" s="904">
        <f>I47-K47</f>
        <v>-0.0833332538604736</v>
      </c>
    </row>
    <row r="49" s="898" customFormat="1" spans="1:13">
      <c r="A49" s="558"/>
      <c r="B49" s="695"/>
      <c r="C49" s="695"/>
      <c r="D49" s="843"/>
      <c r="E49" s="1016"/>
      <c r="F49" s="903"/>
      <c r="G49" s="843"/>
      <c r="H49" s="843"/>
      <c r="I49" s="904"/>
      <c r="J49" s="905"/>
      <c r="K49" s="904"/>
    </row>
    <row r="50" s="898" customFormat="1" spans="1:13">
      <c r="A50" s="558"/>
      <c r="B50" s="695"/>
      <c r="C50" s="695"/>
      <c r="D50" s="843"/>
      <c r="E50" s="1016"/>
      <c r="F50" s="903"/>
      <c r="G50" s="843"/>
      <c r="H50" s="843"/>
      <c r="I50" s="904"/>
      <c r="J50" s="905"/>
      <c r="K50" s="904"/>
    </row>
    <row r="51" s="898" customFormat="1" spans="1:13">
      <c r="A51" s="558"/>
      <c r="B51" s="695"/>
      <c r="C51" s="695"/>
      <c r="D51" s="843"/>
      <c r="E51" s="1016"/>
      <c r="F51" s="903"/>
      <c r="G51" s="843"/>
      <c r="H51" s="843"/>
      <c r="I51" s="904"/>
      <c r="J51" s="905"/>
      <c r="K51" s="898">
        <f>256607-150491</f>
        <v>106116</v>
      </c>
      <c r="L51" s="1017"/>
    </row>
    <row r="52" s="898" customFormat="1" spans="1:13">
      <c r="A52" s="558"/>
      <c r="B52" s="1018" t="s">
        <v>117</v>
      </c>
      <c r="C52" s="695"/>
      <c r="D52" s="843"/>
      <c r="E52" s="1016"/>
      <c r="F52" s="903"/>
      <c r="G52" s="843"/>
      <c r="H52" s="1019" t="s">
        <v>118</v>
      </c>
      <c r="I52" s="904"/>
      <c r="J52" s="905"/>
      <c r="K52" s="905"/>
      <c r="L52" s="905"/>
      <c r="M52" s="905"/>
    </row>
    <row r="53" spans="1:13">
      <c r="A53" s="851"/>
      <c r="B53" s="851"/>
      <c r="C53" s="68"/>
      <c r="D53" s="1020"/>
      <c r="E53" s="1021"/>
      <c r="G53" s="1020"/>
      <c r="H53" s="1022"/>
      <c r="I53" s="832"/>
      <c r="J53" s="699"/>
      <c r="K53" s="604"/>
    </row>
    <row r="54" spans="1:13">
      <c r="C54" s="561"/>
      <c r="D54" s="1023"/>
      <c r="E54" s="1024"/>
      <c r="F54" s="1025"/>
      <c r="G54" s="1023"/>
      <c r="I54" s="832"/>
      <c r="J54" s="699"/>
    </row>
    <row r="55" spans="1:13">
      <c r="C55" s="561"/>
      <c r="D55" s="1023"/>
      <c r="E55" s="1024"/>
      <c r="F55" s="1025"/>
      <c r="G55" s="1023"/>
      <c r="I55" s="832"/>
      <c r="J55" s="699"/>
    </row>
    <row r="56" spans="1:13">
      <c r="C56" s="850"/>
      <c r="D56" s="1026"/>
      <c r="E56" s="1027"/>
      <c r="F56" s="1028"/>
      <c r="G56" s="1026"/>
      <c r="I56" s="832"/>
      <c r="J56" s="699"/>
    </row>
    <row r="57" spans="1:13">
      <c r="I57" s="832"/>
      <c r="J57" s="699"/>
    </row>
    <row r="58" spans="1:13">
      <c r="I58" s="832"/>
      <c r="J58" s="699"/>
    </row>
    <row r="59" spans="1:13">
      <c r="I59" s="832"/>
      <c r="J59" s="699"/>
    </row>
  </sheetData>
  <mergeCells count="14">
    <mergeCell ref="A1:H1"/>
    <mergeCell ref="A2:H2"/>
    <mergeCell ref="A3:H3"/>
    <mergeCell ref="A4:B4"/>
    <mergeCell ref="A5:B5"/>
    <mergeCell ref="A6:B6"/>
    <mergeCell ref="A8:E8"/>
    <mergeCell ref="F8:H8"/>
    <mergeCell ref="A43:D43"/>
    <mergeCell ref="F43:G43"/>
    <mergeCell ref="A45:H45"/>
    <mergeCell ref="A46:H46"/>
    <mergeCell ref="A47:B47"/>
    <mergeCell ref="A53:B53"/>
  </mergeCells>
  <pageMargins left="0.78740157480315" right="0.236220472440945" top="0.393700787401575" bottom="0.393700787401575" header="0.31496062992126" footer="0.31496062992126"/>
  <pageSetup paperSize="5" scale="85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"/>
  <sheetViews>
    <sheetView zoomScale="110" zoomScaleNormal="110" topLeftCell="A25" workbookViewId="0">
      <selection activeCell="F35" sqref="F35"/>
    </sheetView>
  </sheetViews>
  <sheetFormatPr defaultColWidth="9" defaultRowHeight="14.5"/>
  <cols>
    <col min="1" max="1" width="4.85454545454545" style="386" customWidth="1"/>
    <col min="2" max="2" width="36.4272727272727" style="386" customWidth="1"/>
    <col min="3" max="3" width="25.5727272727273" style="386" customWidth="1"/>
    <col min="4" max="4" width="21.7090909090909" style="386" hidden="1" customWidth="1"/>
    <col min="5" max="5" width="5" style="386" customWidth="1"/>
    <col min="6" max="6" width="33" style="386" customWidth="1"/>
    <col min="7" max="7" width="19.4272727272727" style="386" customWidth="1"/>
    <col min="8" max="8" width="17" style="386" customWidth="1"/>
    <col min="9" max="10" width="14.7090909090909" style="386" customWidth="1"/>
    <col min="11" max="11" width="13.2818181818182" style="386" customWidth="1"/>
    <col min="12" max="14" width="12.8545454545455" style="386" customWidth="1"/>
    <col min="15" max="15" width="11.2818181818182" style="386" customWidth="1"/>
    <col min="16" max="16" width="12.8545454545455" style="386" customWidth="1"/>
    <col min="17" max="16384" width="9" style="386"/>
  </cols>
  <sheetData>
    <row r="1" spans="1:9">
      <c r="A1" s="852" t="s">
        <v>0</v>
      </c>
      <c r="B1" s="852"/>
      <c r="C1" s="852"/>
      <c r="D1" s="853"/>
    </row>
    <row r="2" spans="1:9">
      <c r="A2" s="852" t="s">
        <v>119</v>
      </c>
      <c r="B2" s="852"/>
      <c r="C2" s="852"/>
      <c r="D2" s="853"/>
    </row>
    <row r="3" spans="1:9">
      <c r="A3" s="852" t="s">
        <v>120</v>
      </c>
      <c r="B3" s="852"/>
      <c r="C3" s="852"/>
      <c r="D3" s="853"/>
    </row>
    <row r="4" spans="1:9">
      <c r="A4" s="854" t="s">
        <v>121</v>
      </c>
      <c r="B4" s="854"/>
      <c r="C4" s="386" t="s">
        <v>122</v>
      </c>
    </row>
    <row r="5" spans="1:9">
      <c r="A5" s="854" t="s">
        <v>123</v>
      </c>
      <c r="B5" s="854"/>
      <c r="C5" s="386" t="s">
        <v>124</v>
      </c>
    </row>
    <row r="6" spans="1:9">
      <c r="A6" s="854" t="s">
        <v>125</v>
      </c>
      <c r="B6" s="854"/>
      <c r="C6" s="386" t="s">
        <v>126</v>
      </c>
    </row>
    <row r="7" spans="1:9">
      <c r="A7" s="855">
        <v>4</v>
      </c>
      <c r="B7" s="856" t="s">
        <v>127</v>
      </c>
      <c r="C7" s="855" t="s">
        <v>128</v>
      </c>
      <c r="E7" s="857"/>
      <c r="F7" s="858"/>
      <c r="G7" s="859"/>
    </row>
    <row r="8" spans="1:9">
      <c r="A8" s="860" t="s">
        <v>129</v>
      </c>
      <c r="B8" s="860" t="s">
        <v>130</v>
      </c>
      <c r="C8" s="861"/>
      <c r="E8" s="862"/>
      <c r="F8" s="858"/>
    </row>
    <row r="9" spans="1:9">
      <c r="A9" s="861" t="s">
        <v>131</v>
      </c>
      <c r="B9" s="861" t="s">
        <v>132</v>
      </c>
      <c r="C9" s="863">
        <f>SUM(MODUS!H160)</f>
        <v>7191890</v>
      </c>
      <c r="D9" s="864"/>
      <c r="E9" s="865"/>
      <c r="F9" s="858"/>
      <c r="G9" s="865"/>
      <c r="H9" s="865"/>
      <c r="I9" s="865"/>
    </row>
    <row r="10" spans="1:9">
      <c r="A10" s="861" t="s">
        <v>133</v>
      </c>
      <c r="B10" s="861" t="s">
        <v>134</v>
      </c>
      <c r="C10" s="866">
        <f>SUM(KASHAR!F174)</f>
        <v>800000</v>
      </c>
      <c r="E10" s="865"/>
      <c r="F10" s="858"/>
      <c r="G10" s="865"/>
      <c r="H10" s="865"/>
      <c r="I10" s="865"/>
    </row>
    <row r="11" spans="1:9">
      <c r="A11" s="861" t="s">
        <v>135</v>
      </c>
      <c r="B11" s="861" t="s">
        <v>136</v>
      </c>
      <c r="C11" s="866"/>
      <c r="E11" s="865"/>
      <c r="F11" s="858"/>
      <c r="G11" s="865"/>
      <c r="H11" s="865"/>
      <c r="I11" s="865"/>
    </row>
    <row r="12" spans="1:9">
      <c r="A12" s="861" t="s">
        <v>137</v>
      </c>
      <c r="B12" s="861" t="s">
        <v>138</v>
      </c>
      <c r="C12" s="867">
        <f>SUM(BRILink!E16)</f>
        <v>3144870</v>
      </c>
      <c r="E12" s="865"/>
      <c r="F12" s="858"/>
      <c r="G12" s="865"/>
      <c r="H12" s="865"/>
      <c r="I12" s="865"/>
    </row>
    <row r="13" spans="1:9">
      <c r="A13" s="861" t="s">
        <v>139</v>
      </c>
      <c r="B13" s="861" t="s">
        <v>140</v>
      </c>
      <c r="C13" s="868">
        <f>SUM(MULTI!N57)</f>
        <v>7987627</v>
      </c>
      <c r="D13" s="864"/>
      <c r="E13" s="865"/>
      <c r="F13" s="858"/>
      <c r="G13" s="865"/>
      <c r="H13" s="865"/>
      <c r="I13" s="865"/>
    </row>
    <row r="14" spans="1:9">
      <c r="A14" s="861" t="s">
        <v>141</v>
      </c>
      <c r="B14" s="861" t="s">
        <v>142</v>
      </c>
      <c r="C14" s="868">
        <f>SUM(KASHAR!G174)</f>
        <v>280000</v>
      </c>
      <c r="D14" s="864"/>
      <c r="E14" s="865"/>
      <c r="F14" s="858"/>
      <c r="G14" s="865"/>
      <c r="H14" s="865"/>
      <c r="I14" s="865"/>
    </row>
    <row r="15" spans="1:9">
      <c r="A15" s="861" t="s">
        <v>143</v>
      </c>
      <c r="B15" s="861" t="s">
        <v>144</v>
      </c>
      <c r="C15" s="868">
        <f>SUM(KASHAR!I174)</f>
        <v>0</v>
      </c>
      <c r="D15" s="864"/>
      <c r="E15" s="865"/>
      <c r="F15" s="858"/>
      <c r="G15" s="865"/>
      <c r="H15" s="865"/>
      <c r="I15" s="865"/>
    </row>
    <row r="16" spans="1:9">
      <c r="A16" s="861" t="s">
        <v>145</v>
      </c>
      <c r="B16" s="861" t="s">
        <v>146</v>
      </c>
      <c r="C16" s="868">
        <f>SUM('TOKO BENGKEL'!N103)</f>
        <v>362404</v>
      </c>
      <c r="D16" s="864"/>
      <c r="E16" s="865"/>
      <c r="F16" s="858"/>
      <c r="G16" s="865"/>
      <c r="H16" s="865"/>
      <c r="I16" s="865"/>
    </row>
    <row r="17" spans="1:15">
      <c r="A17" s="860" t="s">
        <v>147</v>
      </c>
      <c r="B17" s="860" t="s">
        <v>148</v>
      </c>
      <c r="C17" s="869"/>
      <c r="E17" s="865"/>
      <c r="F17" s="865"/>
      <c r="G17" s="865"/>
      <c r="H17" s="865"/>
      <c r="I17" s="865"/>
    </row>
    <row r="18" spans="1:15">
      <c r="A18" s="861" t="s">
        <v>149</v>
      </c>
      <c r="B18" s="861" t="s">
        <v>150</v>
      </c>
      <c r="C18" s="866"/>
      <c r="E18" s="865"/>
      <c r="F18" s="865"/>
      <c r="G18" s="865"/>
      <c r="H18" s="865"/>
      <c r="I18" s="865"/>
    </row>
    <row r="19" spans="1:15">
      <c r="A19" s="861" t="s">
        <v>151</v>
      </c>
      <c r="B19" s="860" t="s">
        <v>152</v>
      </c>
      <c r="C19" s="869"/>
      <c r="E19" s="865"/>
      <c r="F19" s="865"/>
      <c r="G19" s="865"/>
      <c r="H19" s="865"/>
      <c r="I19" s="865"/>
    </row>
    <row r="20" spans="1:15">
      <c r="A20" s="861"/>
      <c r="B20" s="861"/>
      <c r="C20" s="869"/>
      <c r="E20" s="865"/>
      <c r="F20" s="870"/>
      <c r="G20" s="865"/>
      <c r="H20" s="865"/>
      <c r="I20" s="865"/>
    </row>
    <row r="21" spans="1:15">
      <c r="A21" s="855" t="s">
        <v>153</v>
      </c>
      <c r="B21" s="855"/>
      <c r="C21" s="871">
        <f>SUM(C8:C20)</f>
        <v>19766791</v>
      </c>
      <c r="E21" s="865"/>
      <c r="F21" s="872"/>
      <c r="G21" s="865"/>
      <c r="H21" s="862"/>
      <c r="I21" s="862"/>
      <c r="J21" s="873"/>
    </row>
    <row r="22" spans="1:15">
      <c r="A22" s="874">
        <v>5</v>
      </c>
      <c r="B22" s="860" t="s">
        <v>154</v>
      </c>
      <c r="C22" s="861"/>
      <c r="E22" s="875"/>
      <c r="F22" s="876"/>
      <c r="G22" s="877"/>
      <c r="H22" s="877"/>
      <c r="I22" s="877"/>
      <c r="L22" s="407"/>
      <c r="M22" s="407"/>
    </row>
    <row r="23" spans="1:15">
      <c r="A23" s="861" t="s">
        <v>155</v>
      </c>
      <c r="B23" s="861" t="s">
        <v>156</v>
      </c>
      <c r="C23" s="866">
        <v>7850000</v>
      </c>
      <c r="D23" s="422"/>
      <c r="E23" s="878"/>
      <c r="F23" s="878"/>
      <c r="G23" s="878"/>
      <c r="H23" s="878"/>
      <c r="I23" s="878"/>
      <c r="J23" s="879"/>
      <c r="L23" s="880"/>
    </row>
    <row r="24" spans="1:15">
      <c r="A24" s="861" t="s">
        <v>157</v>
      </c>
      <c r="B24" s="861" t="s">
        <v>158</v>
      </c>
      <c r="C24" s="866">
        <v>1600000</v>
      </c>
      <c r="E24" s="862"/>
      <c r="F24" s="880"/>
      <c r="G24" s="865"/>
      <c r="H24" s="880"/>
      <c r="I24" s="880"/>
      <c r="J24" s="880"/>
      <c r="K24" s="880"/>
      <c r="L24" s="422"/>
      <c r="M24" s="881"/>
      <c r="N24" s="407"/>
      <c r="O24" s="882"/>
    </row>
    <row r="25" spans="1:15">
      <c r="A25" s="861" t="s">
        <v>159</v>
      </c>
      <c r="B25" s="861" t="s">
        <v>160</v>
      </c>
      <c r="C25" s="866">
        <v>1100000</v>
      </c>
      <c r="E25" s="883"/>
      <c r="F25" s="884"/>
      <c r="G25" s="885"/>
      <c r="H25" s="884"/>
      <c r="I25" s="884"/>
      <c r="J25" s="884"/>
      <c r="K25" s="886"/>
      <c r="L25" s="880"/>
    </row>
    <row r="26" spans="1:15">
      <c r="A26" s="861" t="s">
        <v>161</v>
      </c>
      <c r="B26" s="861" t="s">
        <v>162</v>
      </c>
      <c r="C26" s="866">
        <f>SUM(KASHAR!T174)</f>
        <v>4120000</v>
      </c>
      <c r="E26" s="865"/>
      <c r="F26" s="865">
        <f>C23+C24+C25+C2+C26+C27+C28+C30+C31</f>
        <v>18880216.6666667</v>
      </c>
      <c r="G26" s="865"/>
      <c r="J26" s="887"/>
      <c r="K26" s="880"/>
      <c r="L26" s="880"/>
    </row>
    <row r="27" spans="1:15">
      <c r="A27" s="861" t="s">
        <v>163</v>
      </c>
      <c r="B27" s="861" t="s">
        <v>164</v>
      </c>
      <c r="C27" s="866"/>
      <c r="E27" s="880"/>
      <c r="F27" s="880"/>
      <c r="G27" s="865"/>
      <c r="K27" s="880"/>
    </row>
    <row r="28" spans="1:15">
      <c r="A28" s="861" t="s">
        <v>165</v>
      </c>
      <c r="B28" s="861" t="s">
        <v>166</v>
      </c>
      <c r="C28" s="866">
        <f>SUM(INVENTARIS!R194)</f>
        <v>4210216.66666667</v>
      </c>
      <c r="E28" s="880"/>
      <c r="F28" s="888"/>
      <c r="G28" s="407"/>
      <c r="H28" s="880"/>
      <c r="I28" s="880"/>
      <c r="J28" s="407"/>
      <c r="K28" s="864"/>
      <c r="L28" s="880"/>
    </row>
    <row r="29" spans="1:15">
      <c r="A29" s="874" t="s">
        <v>167</v>
      </c>
      <c r="B29" s="860" t="s">
        <v>168</v>
      </c>
      <c r="C29" s="866"/>
      <c r="E29" s="880"/>
      <c r="F29" s="880"/>
      <c r="G29" s="422"/>
      <c r="H29" s="422"/>
      <c r="I29" s="422"/>
      <c r="J29" s="889"/>
      <c r="K29" s="864"/>
      <c r="L29" s="889"/>
      <c r="M29" s="889"/>
      <c r="N29" s="889"/>
    </row>
    <row r="30" spans="1:15">
      <c r="A30" s="861" t="s">
        <v>169</v>
      </c>
      <c r="B30" s="861" t="s">
        <v>170</v>
      </c>
      <c r="C30" s="866"/>
      <c r="E30" s="880"/>
      <c r="F30" s="880"/>
      <c r="G30" s="880"/>
      <c r="J30" s="881"/>
      <c r="K30" s="864"/>
      <c r="L30" s="407"/>
      <c r="M30" s="407"/>
      <c r="N30" s="407"/>
      <c r="O30" s="407"/>
    </row>
    <row r="31" spans="1:15">
      <c r="A31" s="861" t="s">
        <v>171</v>
      </c>
      <c r="B31" s="861" t="s">
        <v>172</v>
      </c>
      <c r="C31" s="890"/>
      <c r="E31" s="880"/>
      <c r="F31" s="880"/>
      <c r="G31" s="880"/>
      <c r="H31" s="880"/>
      <c r="I31" s="880"/>
      <c r="J31" s="891"/>
      <c r="K31" s="407"/>
    </row>
    <row r="32" spans="1:15">
      <c r="A32" s="874">
        <v>7</v>
      </c>
      <c r="B32" s="860" t="s">
        <v>173</v>
      </c>
      <c r="C32" s="892"/>
      <c r="E32" s="880"/>
      <c r="F32" s="880"/>
      <c r="G32" s="880"/>
      <c r="H32" s="865"/>
      <c r="I32" s="865"/>
      <c r="J32" s="893"/>
      <c r="K32" s="893"/>
      <c r="L32" s="893"/>
      <c r="M32" s="889"/>
    </row>
    <row r="33" spans="1:15">
      <c r="A33" s="861" t="s">
        <v>174</v>
      </c>
      <c r="B33" s="860" t="s">
        <v>175</v>
      </c>
      <c r="C33" s="866"/>
      <c r="E33" s="880"/>
      <c r="F33" s="880"/>
      <c r="H33" s="880"/>
      <c r="I33" s="880"/>
      <c r="J33" s="864"/>
      <c r="K33" s="880"/>
      <c r="L33" s="880"/>
      <c r="M33" s="880"/>
      <c r="N33" s="880"/>
      <c r="O33" s="880"/>
    </row>
    <row r="34" spans="1:15">
      <c r="A34" s="855" t="s">
        <v>176</v>
      </c>
      <c r="B34" s="855"/>
      <c r="C34" s="871">
        <f>C21-C23-C24-C25-C26-C27-C28-C30-C31</f>
        <v>886574.33333333</v>
      </c>
      <c r="E34" s="884"/>
      <c r="F34" s="880"/>
      <c r="G34" s="862"/>
      <c r="H34" s="880"/>
      <c r="I34" s="880"/>
      <c r="J34" s="894"/>
      <c r="K34" s="880"/>
      <c r="L34" s="880"/>
      <c r="M34" s="880"/>
      <c r="O34" s="880"/>
    </row>
    <row r="35" spans="1:15">
      <c r="C35" s="895" t="s">
        <v>177</v>
      </c>
      <c r="D35" s="895"/>
      <c r="F35" s="422"/>
      <c r="G35" s="422"/>
      <c r="H35" s="880"/>
      <c r="I35" s="422"/>
      <c r="J35" s="422"/>
      <c r="N35" s="880"/>
    </row>
    <row r="36" spans="1:15">
      <c r="A36" s="420" t="s">
        <v>113</v>
      </c>
      <c r="B36" s="420"/>
      <c r="C36" s="420"/>
      <c r="F36" s="896"/>
      <c r="G36" s="880"/>
      <c r="H36" s="896"/>
      <c r="L36" s="880"/>
      <c r="M36" s="880"/>
      <c r="N36" s="880"/>
    </row>
    <row r="37" spans="1:15">
      <c r="A37" s="420" t="s">
        <v>114</v>
      </c>
      <c r="B37" s="420"/>
      <c r="C37" s="420"/>
      <c r="F37" s="880"/>
      <c r="G37" s="880"/>
      <c r="H37" s="864"/>
    </row>
    <row r="38" spans="1:15">
      <c r="F38" s="897"/>
      <c r="G38" s="880"/>
      <c r="H38" s="880"/>
    </row>
    <row r="39" spans="1:15">
      <c r="A39" s="420" t="s">
        <v>115</v>
      </c>
      <c r="B39" s="420"/>
      <c r="C39" s="420" t="s">
        <v>116</v>
      </c>
      <c r="F39" s="880"/>
      <c r="H39" s="896"/>
    </row>
    <row r="40" spans="1:15">
      <c r="B40" s="420"/>
      <c r="G40" s="388"/>
      <c r="H40" s="896"/>
    </row>
    <row r="41" spans="1:15">
      <c r="B41" s="420"/>
      <c r="G41" s="388"/>
      <c r="H41" s="880"/>
    </row>
    <row r="42" spans="1:15">
      <c r="B42" s="420"/>
      <c r="G42" s="388"/>
      <c r="H42" s="880"/>
    </row>
    <row r="43" spans="1:15">
      <c r="B43" s="423"/>
    </row>
    <row r="44" spans="1:15">
      <c r="A44" s="387" t="s">
        <v>117</v>
      </c>
      <c r="B44" s="387"/>
      <c r="C44" s="423" t="s">
        <v>178</v>
      </c>
      <c r="D44" s="421"/>
      <c r="E44" s="421"/>
    </row>
    <row r="46" spans="1:15">
      <c r="B46" s="420"/>
      <c r="C46" s="420"/>
      <c r="D46" s="420"/>
    </row>
    <row r="47" spans="1:15">
      <c r="B47" s="387"/>
      <c r="C47" s="387"/>
      <c r="D47" s="387"/>
    </row>
    <row r="51" spans="2:4">
      <c r="B51" s="423"/>
      <c r="C51" s="423"/>
      <c r="D51" s="423"/>
    </row>
  </sheetData>
  <mergeCells count="15">
    <mergeCell ref="A1:C1"/>
    <mergeCell ref="A2:C2"/>
    <mergeCell ref="A3:C3"/>
    <mergeCell ref="A4:B4"/>
    <mergeCell ref="A5:B5"/>
    <mergeCell ref="A6:B6"/>
    <mergeCell ref="A21:B21"/>
    <mergeCell ref="A34:B34"/>
    <mergeCell ref="A36:C36"/>
    <mergeCell ref="A37:C37"/>
    <mergeCell ref="A39:B39"/>
    <mergeCell ref="A44:B44"/>
    <mergeCell ref="B46:D46"/>
    <mergeCell ref="B47:D47"/>
    <mergeCell ref="B51:D51"/>
  </mergeCells>
  <pageMargins left="1.19444444444444" right="0.25" top="0.75" bottom="0.75" header="0.3" footer="0.3"/>
  <pageSetup paperSize="5" orientation="portrait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S44"/>
  <sheetViews>
    <sheetView topLeftCell="A13" workbookViewId="0">
      <selection activeCell="D38" sqref="D38"/>
    </sheetView>
  </sheetViews>
  <sheetFormatPr defaultColWidth="8.72727272727273" defaultRowHeight="14.5"/>
  <cols>
    <col min="1" max="1" width="6.63636363636364" customWidth="1"/>
    <col min="2" max="2" width="37.5454545454545" customWidth="1"/>
    <col min="3" max="3" width="30.3636363636364" customWidth="1"/>
    <col min="4" max="4" width="14"/>
    <col min="5" max="5" width="15.1818181818182"/>
    <col min="7" max="7" width="12.5454545454545" customWidth="1"/>
    <col min="8" max="8" width="11.9090909090909" customWidth="1"/>
    <col min="9" max="15" width="11.5454545454545" customWidth="1"/>
    <col min="16" max="16" width="12.9090909090909" customWidth="1"/>
    <col min="17" max="17" width="14" customWidth="1"/>
    <col min="18" max="18" width="14.2727272727273"/>
    <col min="19" max="19" width="11.5454545454545"/>
  </cols>
  <sheetData>
    <row r="2" spans="1:18">
      <c r="A2" s="687" t="s">
        <v>0</v>
      </c>
      <c r="B2" s="687"/>
      <c r="C2" s="687"/>
    </row>
    <row r="3" spans="1:18">
      <c r="A3" s="687" t="s">
        <v>179</v>
      </c>
      <c r="B3" s="687"/>
      <c r="C3" s="687"/>
    </row>
    <row r="4" spans="1:18">
      <c r="A4" s="687" t="s">
        <v>180</v>
      </c>
      <c r="B4" s="687"/>
      <c r="C4" s="687"/>
    </row>
    <row r="5" spans="1:18">
      <c r="A5" s="565" t="s">
        <v>121</v>
      </c>
      <c r="B5" s="565"/>
      <c r="C5" t="s">
        <v>122</v>
      </c>
    </row>
    <row r="6" spans="1:18">
      <c r="A6" s="565" t="s">
        <v>123</v>
      </c>
      <c r="B6" s="565"/>
      <c r="C6" t="s">
        <v>124</v>
      </c>
    </row>
    <row r="7" spans="1:18">
      <c r="A7" s="565" t="s">
        <v>125</v>
      </c>
      <c r="B7" s="565"/>
      <c r="C7" t="s">
        <v>126</v>
      </c>
    </row>
    <row r="8" spans="1:18">
      <c r="A8" s="827">
        <v>4</v>
      </c>
      <c r="B8" s="828" t="s">
        <v>127</v>
      </c>
      <c r="C8" s="828" t="s">
        <v>128</v>
      </c>
    </row>
    <row r="9" spans="1:18">
      <c r="A9" s="637" t="s">
        <v>129</v>
      </c>
      <c r="B9" s="637" t="s">
        <v>130</v>
      </c>
      <c r="C9" s="71"/>
      <c r="G9" s="829" t="s">
        <v>181</v>
      </c>
      <c r="H9" t="s">
        <v>182</v>
      </c>
      <c r="I9" t="s">
        <v>183</v>
      </c>
      <c r="J9" t="s">
        <v>184</v>
      </c>
      <c r="K9" t="s">
        <v>185</v>
      </c>
      <c r="L9" t="s">
        <v>186</v>
      </c>
      <c r="M9" t="s">
        <v>187</v>
      </c>
      <c r="N9" t="s">
        <v>188</v>
      </c>
      <c r="O9" t="s">
        <v>189</v>
      </c>
      <c r="P9" t="s">
        <v>190</v>
      </c>
      <c r="Q9" t="s">
        <v>191</v>
      </c>
      <c r="R9" t="s">
        <v>192</v>
      </c>
    </row>
    <row r="10" spans="1:18">
      <c r="A10" s="71" t="s">
        <v>131</v>
      </c>
      <c r="B10" s="71" t="s">
        <v>193</v>
      </c>
      <c r="C10" s="830">
        <f>F10+G10+H10+I10+J10+K10+L10+M10+N10+O10+P10+Q10+R10</f>
        <v>59950721</v>
      </c>
      <c r="G10" s="619">
        <f>SUM('[49]RUGI LABA '!$C$9)</f>
        <v>8815913</v>
      </c>
      <c r="H10" s="831">
        <f>SUM('[50]RUGI LABA '!$C$9)</f>
        <v>7794055</v>
      </c>
      <c r="I10" s="619">
        <f>SUM('[51]RUGI LABA '!$C$9)</f>
        <v>7005396</v>
      </c>
      <c r="J10" s="619">
        <f>SUM('[52]RUGI LABA '!$C$9)</f>
        <v>7404097</v>
      </c>
      <c r="K10" s="619">
        <f>SUM('[53]RUGI LABA '!$C$9)</f>
        <v>6592431</v>
      </c>
      <c r="L10" s="619">
        <f>SUM('[54]RUGI LABA '!$C$9)</f>
        <v>7836460</v>
      </c>
      <c r="M10" s="619">
        <f>SUM('[57]RUGI LABA '!$C$9)</f>
        <v>7310479</v>
      </c>
      <c r="N10" s="619">
        <f>SUM('RUGI LABA '!C9)</f>
        <v>7191890</v>
      </c>
      <c r="O10" s="619"/>
      <c r="P10" s="832"/>
      <c r="Q10" s="832"/>
      <c r="R10" s="833"/>
    </row>
    <row r="11" spans="1:18">
      <c r="A11" s="71" t="s">
        <v>133</v>
      </c>
      <c r="B11" s="71" t="s">
        <v>194</v>
      </c>
      <c r="C11" s="834">
        <f>F11+G11+H11+I11+J11+K11+L11+M11+N11+O11+P11+Q11+R11</f>
        <v>6400000</v>
      </c>
      <c r="G11" s="831">
        <f>SUM('[49]RUGI LABA '!$C$10)</f>
        <v>800000</v>
      </c>
      <c r="H11" s="619">
        <f>SUM('[50]RUGI LABA '!$C$10)</f>
        <v>800000</v>
      </c>
      <c r="I11" s="619">
        <f>SUM('[51]RUGI LABA '!$C$10)</f>
        <v>800000</v>
      </c>
      <c r="J11" s="619">
        <f>SUM('[52]RUGI LABA '!$C$10)</f>
        <v>800000</v>
      </c>
      <c r="K11" s="619">
        <f>SUM('[53]RUGI LABA '!$C$10)</f>
        <v>800000</v>
      </c>
      <c r="L11" s="619">
        <v>800000</v>
      </c>
      <c r="M11" s="619">
        <f>SUM('[57]RUGI LABA '!$C$10)</f>
        <v>800000</v>
      </c>
      <c r="N11" s="619">
        <v>800000</v>
      </c>
      <c r="O11" s="619"/>
      <c r="P11" s="832"/>
      <c r="Q11" s="832"/>
      <c r="R11" s="619"/>
    </row>
    <row r="12" spans="1:18">
      <c r="A12" s="71" t="s">
        <v>135</v>
      </c>
      <c r="B12" s="71" t="s">
        <v>136</v>
      </c>
      <c r="C12" s="834">
        <f>SUM(G12:R12)</f>
        <v>225000</v>
      </c>
      <c r="G12" s="619">
        <f>SUM('[49]RUGI LABA '!$C$11)</f>
        <v>195000</v>
      </c>
      <c r="H12" s="619">
        <f>SUM('[50]RUGI LABA '!$C$11)</f>
        <v>30000</v>
      </c>
      <c r="I12" s="619"/>
      <c r="J12" s="619"/>
      <c r="K12" s="619"/>
      <c r="L12" s="619"/>
      <c r="M12" s="619"/>
      <c r="N12" s="619"/>
      <c r="O12" s="619"/>
      <c r="P12" s="832"/>
      <c r="Q12" s="832"/>
      <c r="R12" s="832"/>
    </row>
    <row r="13" spans="1:18">
      <c r="A13" s="71" t="s">
        <v>137</v>
      </c>
      <c r="B13" s="71" t="s">
        <v>195</v>
      </c>
      <c r="C13" s="834">
        <f>SUM(G13+H13+I13+J13+K13+L13+M13+N13+O13+P13+Q13+R13)</f>
        <v>28521806</v>
      </c>
      <c r="G13" s="619">
        <f>SUM('[49]RUGI LABA '!$C$12)</f>
        <v>3403256</v>
      </c>
      <c r="H13" s="619">
        <f>SUM('[50]RUGI LABA '!$C$12)</f>
        <v>4175520</v>
      </c>
      <c r="I13" s="619">
        <f>SUM('[51]RUGI LABA '!$C$12)</f>
        <v>2957700</v>
      </c>
      <c r="J13" s="619">
        <f>SUM('[52]RUGI LABA '!$C$12)</f>
        <v>4162140</v>
      </c>
      <c r="K13" s="619">
        <f>SUM('[53]RUGI LABA '!$C$12)</f>
        <v>4614400</v>
      </c>
      <c r="L13" s="619">
        <f>SUM('[54]RUGI LABA '!$C$12)</f>
        <v>2596470</v>
      </c>
      <c r="M13" s="619">
        <f>SUM('[57]RUGI LABA '!$C$12)</f>
        <v>3467450</v>
      </c>
      <c r="N13" s="619">
        <f>SUM('RUGI LABA '!C12)</f>
        <v>3144870</v>
      </c>
      <c r="O13" s="619"/>
      <c r="P13" s="835"/>
      <c r="Q13" s="835"/>
      <c r="R13" s="835"/>
    </row>
    <row r="14" spans="1:18">
      <c r="A14" s="71" t="s">
        <v>139</v>
      </c>
      <c r="B14" s="71" t="s">
        <v>196</v>
      </c>
      <c r="C14" s="836">
        <f>F14+G14+H14+I14+J14+K14+L14+M14+N14+O14+P14+Q14+R14</f>
        <v>37455612</v>
      </c>
      <c r="E14" s="832"/>
      <c r="G14" s="619">
        <f>SUM('[49]RUGI LABA '!$C$13)</f>
        <v>3631205</v>
      </c>
      <c r="H14" s="619">
        <f>SUM('[50]RUGI LABA '!$C$13)</f>
        <v>3306497</v>
      </c>
      <c r="I14" s="619">
        <f>SUM('[51]RUGI LABA '!$C$13)</f>
        <v>4016780</v>
      </c>
      <c r="J14" s="619">
        <f>SUM('[52]RUGI LABA '!$C$13)</f>
        <v>7447000</v>
      </c>
      <c r="K14" s="619">
        <f>SUM('[53]RUGI LABA '!$C$13)</f>
        <v>3984169</v>
      </c>
      <c r="L14" s="619">
        <f>SUM('[54]RUGI LABA '!$C$13)</f>
        <v>3541666</v>
      </c>
      <c r="M14" s="619">
        <f>SUM('[57]RUGI LABA '!$C$13)</f>
        <v>3540668</v>
      </c>
      <c r="N14" s="619">
        <f>SUM('RUGI LABA '!C13)</f>
        <v>7987627</v>
      </c>
      <c r="O14" s="619"/>
      <c r="P14" s="832"/>
      <c r="Q14" s="832"/>
      <c r="R14" s="832"/>
    </row>
    <row r="15" spans="1:18">
      <c r="A15" s="71" t="s">
        <v>141</v>
      </c>
      <c r="B15" s="71" t="s">
        <v>142</v>
      </c>
      <c r="C15" s="836">
        <f>G15+H15+I15+J15+K15+L15+M15+N15+O15+P15+Q15+R15</f>
        <v>10104000</v>
      </c>
      <c r="G15" s="619"/>
      <c r="H15" s="619"/>
      <c r="I15" s="619">
        <f>SUM('[51]RUGI LABA '!$C$14)</f>
        <v>2675000</v>
      </c>
      <c r="J15" s="619">
        <f>SUM('[52]RUGI LABA '!$C$14)</f>
        <v>2500000</v>
      </c>
      <c r="K15" s="619"/>
      <c r="L15" s="619">
        <f>SUM('[54]RUGI LABA '!$C$14)</f>
        <v>2739000</v>
      </c>
      <c r="M15" s="619">
        <f>SUM('[57]RUGI LABA '!$C$14)</f>
        <v>1910000</v>
      </c>
      <c r="N15" s="619">
        <f>SUM('RUGI LABA '!C14)</f>
        <v>280000</v>
      </c>
      <c r="O15" s="619"/>
      <c r="P15" s="619"/>
      <c r="Q15" s="832"/>
      <c r="R15" s="832"/>
    </row>
    <row r="16" spans="1:18">
      <c r="A16" s="837" t="s">
        <v>143</v>
      </c>
      <c r="B16" s="837" t="s">
        <v>144</v>
      </c>
      <c r="C16" s="838">
        <f>SUM(K16+L16+M16)</f>
        <v>11702600</v>
      </c>
      <c r="G16" s="619"/>
      <c r="H16" s="619"/>
      <c r="I16" s="619"/>
      <c r="J16" s="619"/>
      <c r="K16" s="619">
        <f>SUM('[53]RUGI LABA '!$C$15)</f>
        <v>11702600</v>
      </c>
      <c r="L16" s="619"/>
      <c r="M16" s="619"/>
      <c r="N16" s="619"/>
      <c r="O16" s="619"/>
      <c r="P16" s="832"/>
      <c r="Q16" s="832"/>
      <c r="R16" s="832"/>
    </row>
    <row r="17" spans="1:19">
      <c r="A17" s="837" t="s">
        <v>145</v>
      </c>
      <c r="B17" s="837" t="s">
        <v>146</v>
      </c>
      <c r="C17" s="838">
        <f>SUM(G17:R17)</f>
        <v>2866815</v>
      </c>
      <c r="G17" s="619">
        <f>SUM('[49]RUGI LABA '!$C$16)</f>
        <v>232302</v>
      </c>
      <c r="H17" s="619">
        <f>SUM('[50]RUGI LABA '!$C$16)</f>
        <v>226450</v>
      </c>
      <c r="I17" s="619">
        <f>SUM('[51]RUGI LABA '!$C$16)</f>
        <v>378000</v>
      </c>
      <c r="J17" s="619">
        <f>SUM('[52]RUGI LABA '!$C$16)</f>
        <v>387240</v>
      </c>
      <c r="K17" s="619">
        <f>SUM('[53]RUGI LABA '!$C$16)</f>
        <v>380282</v>
      </c>
      <c r="L17" s="619">
        <f>SUM('[54]RUGI LABA '!$C$16)</f>
        <v>402234</v>
      </c>
      <c r="M17" s="619">
        <f>SUM('[57]RUGI LABA '!$C$16)</f>
        <v>497903</v>
      </c>
      <c r="N17" s="619">
        <f>SUM('RUGI LABA '!C16)</f>
        <v>362404</v>
      </c>
      <c r="O17" s="619"/>
      <c r="P17" s="832"/>
      <c r="Q17" s="832"/>
    </row>
    <row r="18" spans="1:19">
      <c r="A18" s="637" t="s">
        <v>147</v>
      </c>
      <c r="B18" s="637" t="s">
        <v>148</v>
      </c>
      <c r="C18" s="838"/>
      <c r="G18" s="619"/>
      <c r="H18" s="619"/>
      <c r="I18" s="619"/>
      <c r="J18" s="619"/>
      <c r="K18" s="619"/>
      <c r="L18" s="619"/>
      <c r="M18" s="619"/>
      <c r="N18" s="619"/>
      <c r="O18" s="619"/>
    </row>
    <row r="19" spans="1:19">
      <c r="A19" s="71" t="s">
        <v>149</v>
      </c>
      <c r="B19" s="71" t="s">
        <v>150</v>
      </c>
      <c r="C19" s="834"/>
      <c r="G19" s="619"/>
      <c r="H19" s="619"/>
      <c r="I19" s="619"/>
      <c r="J19" s="619"/>
      <c r="K19" s="619"/>
      <c r="L19" s="619"/>
      <c r="M19" s="619"/>
      <c r="N19" s="619"/>
      <c r="O19" s="619"/>
    </row>
    <row r="20" spans="1:19">
      <c r="A20" s="71" t="s">
        <v>151</v>
      </c>
      <c r="B20" s="637" t="s">
        <v>152</v>
      </c>
      <c r="C20" s="838">
        <f>F20+G20+H20+I20+J20</f>
        <v>0</v>
      </c>
      <c r="G20" s="831"/>
      <c r="H20" s="619"/>
      <c r="I20" s="619"/>
      <c r="J20" s="619"/>
      <c r="K20" s="619"/>
      <c r="L20" s="619"/>
      <c r="M20" s="619"/>
      <c r="N20" s="619"/>
      <c r="O20" s="619"/>
    </row>
    <row r="21" spans="1:19">
      <c r="A21" s="71"/>
      <c r="B21" s="71"/>
      <c r="C21" s="838"/>
      <c r="G21" s="839"/>
      <c r="H21" s="619"/>
      <c r="I21" s="619"/>
      <c r="J21" s="619"/>
      <c r="K21" s="619"/>
      <c r="L21" s="619"/>
      <c r="M21" s="619"/>
      <c r="N21" s="619"/>
      <c r="O21" s="619"/>
    </row>
    <row r="22" spans="1:19">
      <c r="A22" s="827" t="s">
        <v>153</v>
      </c>
      <c r="B22" s="827"/>
      <c r="C22" s="840">
        <f>SUM(C10:C20)</f>
        <v>157226554</v>
      </c>
      <c r="G22" s="619"/>
      <c r="H22" s="619"/>
      <c r="I22" s="831"/>
      <c r="J22" s="619"/>
      <c r="K22" s="619"/>
      <c r="L22" s="619"/>
      <c r="M22" s="619"/>
      <c r="N22" s="619"/>
      <c r="O22" s="619"/>
    </row>
    <row r="23" spans="1:19">
      <c r="A23" s="841">
        <v>5</v>
      </c>
      <c r="B23" s="637" t="s">
        <v>154</v>
      </c>
      <c r="C23" s="71"/>
      <c r="G23" s="842"/>
      <c r="H23" s="619"/>
      <c r="I23" s="619"/>
      <c r="J23" s="619"/>
      <c r="K23" s="619"/>
      <c r="L23" s="619"/>
      <c r="M23" s="619"/>
      <c r="N23" s="619"/>
      <c r="O23" s="619"/>
    </row>
    <row r="24" spans="1:19">
      <c r="A24" s="71" t="s">
        <v>155</v>
      </c>
      <c r="B24" s="71" t="s">
        <v>156</v>
      </c>
      <c r="C24" s="834">
        <f>SUM(G24+H24+I24+J24+K24+L24+M24+N24+O24+P24+Q24+R24)</f>
        <v>62800000</v>
      </c>
      <c r="E24" s="832"/>
      <c r="G24" s="843">
        <f>SUM('[49]RUGI LABA '!$C$23)</f>
        <v>7850000</v>
      </c>
      <c r="H24" s="844">
        <v>7850000</v>
      </c>
      <c r="I24" s="619">
        <v>7850000</v>
      </c>
      <c r="J24" s="619">
        <v>7850000</v>
      </c>
      <c r="K24" s="619">
        <v>7850000</v>
      </c>
      <c r="L24" s="619">
        <v>7850000</v>
      </c>
      <c r="M24" s="619">
        <v>7850000</v>
      </c>
      <c r="N24" s="619">
        <v>7850000</v>
      </c>
      <c r="O24" s="619"/>
      <c r="P24" s="619"/>
      <c r="Q24" s="619"/>
      <c r="R24" s="619"/>
    </row>
    <row r="25" spans="1:19">
      <c r="A25" s="71" t="s">
        <v>159</v>
      </c>
      <c r="B25" s="71" t="s">
        <v>197</v>
      </c>
      <c r="C25" s="834">
        <f>F25+G25+H25+I25+J25+K25+L25+M25+N25+O25+P25+Q25+R25</f>
        <v>12800000</v>
      </c>
      <c r="G25" s="843">
        <f>SUM('[49]RUGI LABA '!$C$24)</f>
        <v>1600000</v>
      </c>
      <c r="H25" s="844">
        <v>1600000</v>
      </c>
      <c r="I25" s="619">
        <v>1600000</v>
      </c>
      <c r="J25" s="619">
        <v>1600000</v>
      </c>
      <c r="K25" s="619">
        <v>1600000</v>
      </c>
      <c r="L25" s="619">
        <v>1600000</v>
      </c>
      <c r="M25" s="619">
        <v>1600000</v>
      </c>
      <c r="N25" s="619">
        <v>1600000</v>
      </c>
      <c r="O25" s="619"/>
      <c r="P25" s="619"/>
      <c r="Q25" s="619"/>
      <c r="R25" s="619"/>
    </row>
    <row r="26" spans="1:19">
      <c r="A26" s="71" t="s">
        <v>161</v>
      </c>
      <c r="B26" s="71" t="s">
        <v>198</v>
      </c>
      <c r="C26" s="834">
        <f>F26+G26+H26+I26+J26+K26+L26+M26+N26+O26+P26+Q26+R26</f>
        <v>8800000</v>
      </c>
      <c r="D26" s="832"/>
      <c r="G26" s="843">
        <f>SUM('[49]RUGI LABA '!$C$25)</f>
        <v>1100000</v>
      </c>
      <c r="H26" s="844">
        <v>1100000</v>
      </c>
      <c r="I26" s="619">
        <v>1100000</v>
      </c>
      <c r="J26" s="619">
        <v>1100000</v>
      </c>
      <c r="K26" s="619">
        <v>1100000</v>
      </c>
      <c r="L26" s="619">
        <v>1100000</v>
      </c>
      <c r="M26" s="619">
        <v>1100000</v>
      </c>
      <c r="N26" s="619">
        <v>1100000</v>
      </c>
      <c r="O26" s="619"/>
      <c r="P26" s="619"/>
      <c r="Q26" s="619"/>
      <c r="R26" s="619"/>
    </row>
    <row r="27" spans="1:19">
      <c r="A27" s="71" t="s">
        <v>163</v>
      </c>
      <c r="B27" s="71" t="s">
        <v>162</v>
      </c>
      <c r="C27" s="834">
        <f>SUM(G27+H27+I27+J27+K27+L27+M27+N27+O27+P27+Q27+R27)</f>
        <v>14910000</v>
      </c>
      <c r="G27" s="843">
        <f>SUM('[49]RUGI LABA '!$C$26)</f>
        <v>1345000</v>
      </c>
      <c r="H27" s="844">
        <f>SUM('[50]RUGI LABA '!$C$26)</f>
        <v>650000</v>
      </c>
      <c r="I27" s="619">
        <f>SUM('[51]RUGI LABA '!$C$26)</f>
        <v>1575000</v>
      </c>
      <c r="J27" s="619">
        <f>SUM('[52]RUGI LABA '!$C$26)</f>
        <v>1890000</v>
      </c>
      <c r="K27" s="619">
        <f>SUM('[53]RUGI LABA '!$C$26)</f>
        <v>1950000</v>
      </c>
      <c r="L27" s="619">
        <f>SUM('[54]RUGI LABA '!$C$26)</f>
        <v>1200000</v>
      </c>
      <c r="M27" s="619">
        <f>SUM('[57]RUGI LABA '!$C$26)</f>
        <v>2180000</v>
      </c>
      <c r="N27" s="619">
        <f>SUM('RUGI LABA '!C26)</f>
        <v>4120000</v>
      </c>
      <c r="O27" s="619"/>
      <c r="P27" s="832"/>
      <c r="Q27" s="832"/>
      <c r="R27" s="619"/>
    </row>
    <row r="28" spans="1:19">
      <c r="A28" s="71" t="s">
        <v>165</v>
      </c>
      <c r="B28" s="71" t="s">
        <v>199</v>
      </c>
      <c r="C28" s="834">
        <f>G28+H28+I28+J28</f>
        <v>2500000</v>
      </c>
      <c r="E28" s="832">
        <f>SUM(C24:C32)</f>
        <v>137159649.666667</v>
      </c>
      <c r="G28" s="843"/>
      <c r="H28" s="844"/>
      <c r="I28" s="619"/>
      <c r="J28" s="619">
        <v>2500000</v>
      </c>
      <c r="K28" s="619"/>
      <c r="L28" s="619"/>
      <c r="M28" s="619"/>
      <c r="N28" s="619"/>
      <c r="O28" s="619"/>
    </row>
    <row r="29" spans="1:19">
      <c r="A29" s="71" t="s">
        <v>200</v>
      </c>
      <c r="B29" s="71" t="s">
        <v>166</v>
      </c>
      <c r="C29" s="834">
        <f>SUM(G29+H29+I29+J29+K29+L29+M29+N29+O29+P29+Q29+R29)</f>
        <v>34349649.6666667</v>
      </c>
      <c r="G29" s="843">
        <f>SUM('[49]RUGI LABA '!$C$28)</f>
        <v>4281633.33333334</v>
      </c>
      <c r="H29" s="845">
        <f>SUM('[50]RUGI LABA '!$C$28)</f>
        <v>4281633.33333334</v>
      </c>
      <c r="I29" s="600">
        <f>SUM('[51]RUGI LABA '!$C$28)</f>
        <v>4281633</v>
      </c>
      <c r="J29" s="832">
        <f>SUM('[52]RUGI LABA '!$C$28)</f>
        <v>4281633.33333334</v>
      </c>
      <c r="K29" s="619">
        <f>SUM('[53]RUGI LABA '!$C$28)</f>
        <v>4361633.33333334</v>
      </c>
      <c r="L29" s="832">
        <f>SUM('[54]RUGI LABA '!$C$28)</f>
        <v>4391050</v>
      </c>
      <c r="M29" s="619">
        <f>SUM('[57]RUGI LABA '!$C$28)</f>
        <v>4260216.66666667</v>
      </c>
      <c r="N29" s="832">
        <f>SUM('RUGI LABA '!C28)</f>
        <v>4210216.66666667</v>
      </c>
      <c r="O29" s="832"/>
      <c r="P29" s="832"/>
      <c r="Q29" s="832"/>
      <c r="R29" s="832"/>
      <c r="S29" s="600">
        <f>SUM(G29:P29)</f>
        <v>34349649.6666667</v>
      </c>
    </row>
    <row r="30" spans="1:19">
      <c r="A30" s="841" t="s">
        <v>167</v>
      </c>
      <c r="B30" s="637" t="s">
        <v>168</v>
      </c>
      <c r="C30" s="834"/>
      <c r="G30" s="846"/>
      <c r="H30" s="68"/>
      <c r="I30" s="832"/>
    </row>
    <row r="31" spans="1:19">
      <c r="A31" s="71" t="s">
        <v>169</v>
      </c>
      <c r="B31" s="71" t="s">
        <v>201</v>
      </c>
      <c r="C31" s="834">
        <f>SUM(G31+H31+I31+M31)</f>
        <v>0</v>
      </c>
      <c r="G31" s="847"/>
      <c r="H31" s="565"/>
      <c r="I31" s="832"/>
      <c r="M31" s="832"/>
      <c r="N31" s="832"/>
      <c r="O31" s="619"/>
    </row>
    <row r="32" spans="1:19">
      <c r="A32" s="71" t="s">
        <v>171</v>
      </c>
      <c r="B32" s="71" t="s">
        <v>172</v>
      </c>
      <c r="C32" s="848">
        <f>SUM(J32:Q32)</f>
        <v>1000000</v>
      </c>
      <c r="G32" s="832"/>
      <c r="J32" s="619">
        <v>500000</v>
      </c>
      <c r="K32" s="619">
        <v>500000</v>
      </c>
      <c r="P32" s="832"/>
    </row>
    <row r="33" spans="1:5">
      <c r="A33" s="841">
        <v>7</v>
      </c>
      <c r="B33" s="637" t="s">
        <v>202</v>
      </c>
      <c r="C33" s="834"/>
      <c r="D33" s="832">
        <f>C24+C25+C26</f>
        <v>84400000</v>
      </c>
      <c r="E33" s="832">
        <f>C22-D33</f>
        <v>72826554</v>
      </c>
    </row>
    <row r="34" spans="1:5">
      <c r="A34" s="71" t="s">
        <v>174</v>
      </c>
      <c r="B34" s="637" t="s">
        <v>175</v>
      </c>
      <c r="C34" s="834"/>
      <c r="D34">
        <v>63</v>
      </c>
    </row>
    <row r="35" spans="1:5">
      <c r="A35" s="827" t="s">
        <v>176</v>
      </c>
      <c r="B35" s="827"/>
      <c r="C35" s="840">
        <f>C22-C24-C25-C26-C27-C28-C29-C31-C32</f>
        <v>20066904.3333333</v>
      </c>
    </row>
    <row r="36" spans="1:5">
      <c r="A36" s="68"/>
      <c r="B36" s="68"/>
      <c r="C36" s="849" t="s">
        <v>177</v>
      </c>
    </row>
    <row r="37" spans="1:5">
      <c r="A37" s="68" t="s">
        <v>113</v>
      </c>
      <c r="B37" s="68"/>
      <c r="C37" s="68"/>
    </row>
    <row r="38" spans="1:5">
      <c r="A38" s="68" t="s">
        <v>114</v>
      </c>
      <c r="B38" s="68"/>
      <c r="C38" s="68"/>
    </row>
    <row r="40" spans="1:5">
      <c r="A40" s="68" t="s">
        <v>115</v>
      </c>
      <c r="B40" s="68"/>
      <c r="C40" s="68" t="s">
        <v>116</v>
      </c>
    </row>
    <row r="41" spans="1:5">
      <c r="B41" s="68"/>
    </row>
    <row r="42" spans="1:5">
      <c r="B42" s="68"/>
    </row>
    <row r="43" spans="1:5">
      <c r="B43" s="850"/>
    </row>
    <row r="44" spans="1:5">
      <c r="A44" s="851" t="s">
        <v>117</v>
      </c>
      <c r="B44" s="851"/>
      <c r="C44" s="850" t="s">
        <v>178</v>
      </c>
    </row>
  </sheetData>
  <mergeCells count="13">
    <mergeCell ref="A2:C2"/>
    <mergeCell ref="A3:C3"/>
    <mergeCell ref="A4:C4"/>
    <mergeCell ref="A5:B5"/>
    <mergeCell ref="A6:B6"/>
    <mergeCell ref="A7:B7"/>
    <mergeCell ref="A22:B22"/>
    <mergeCell ref="A35:B35"/>
    <mergeCell ref="A36:B36"/>
    <mergeCell ref="A37:C37"/>
    <mergeCell ref="A38:C38"/>
    <mergeCell ref="A40:B40"/>
    <mergeCell ref="A44:B44"/>
  </mergeCells>
  <pageMargins left="0.75" right="0.75" top="1" bottom="1" header="0.5" footer="0.5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54"/>
  <sheetViews>
    <sheetView view="pageLayout" zoomScale="60" zoomScaleNormal="60" topLeftCell="A166" workbookViewId="0">
      <selection activeCell="J181" sqref="J181"/>
    </sheetView>
  </sheetViews>
  <sheetFormatPr defaultColWidth="9" defaultRowHeight="14.5"/>
  <cols>
    <col min="1" max="1" width="9" style="715" customWidth="1"/>
    <col min="2" max="2" width="42.7272727272727" style="716" customWidth="1"/>
    <col min="3" max="3" width="13.6272727272727" style="715" customWidth="1"/>
    <col min="4" max="4" width="11.5090909090909" style="715" customWidth="1"/>
    <col min="5" max="5" width="11.8545454545455" style="715" customWidth="1"/>
    <col min="6" max="6" width="9.69090909090909" style="715" customWidth="1"/>
    <col min="7" max="7" width="9.39090909090909" style="715" customWidth="1"/>
    <col min="8" max="8" width="9.81818181818182" style="715" customWidth="1"/>
    <col min="9" max="9" width="11.8181818181818" style="715" customWidth="1"/>
    <col min="10" max="10" width="10.6" style="715" customWidth="1"/>
    <col min="11" max="11" width="11.8090909090909" style="715" customWidth="1"/>
    <col min="12" max="12" width="11.5090909090909" style="715" customWidth="1"/>
    <col min="13" max="13" width="15.1363636363636" style="717" customWidth="1"/>
    <col min="14" max="14" width="11.7454545454545" style="715" customWidth="1"/>
    <col min="15" max="15" width="13" style="715" customWidth="1"/>
    <col min="16" max="16" width="9.66363636363636" style="715" customWidth="1"/>
    <col min="17" max="19" width="13" style="715" customWidth="1"/>
    <col min="20" max="20" width="12" style="715" customWidth="1"/>
    <col min="21" max="21" width="13.2363636363636" style="718" customWidth="1"/>
    <col min="22" max="22" width="14.7090909090909" style="717" customWidth="1"/>
    <col min="23" max="23" width="13.4272727272727" style="717" customWidth="1"/>
    <col min="24" max="24" width="25.1363636363636" style="715" customWidth="1"/>
    <col min="25" max="25" width="18.1818181818182" style="715" customWidth="1"/>
    <col min="26" max="26" width="12.5727272727273" style="715" customWidth="1"/>
    <col min="27" max="27" width="11.1363636363636" style="715" customWidth="1"/>
    <col min="28" max="28" width="14.5727272727273" style="715" customWidth="1"/>
    <col min="29" max="29" width="11.1363636363636" style="715" customWidth="1"/>
    <col min="30" max="30" width="11" style="715" customWidth="1"/>
    <col min="31" max="16384" width="9" style="715"/>
  </cols>
  <sheetData>
    <row r="1" spans="1:26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719"/>
      <c r="V1" s="96"/>
      <c r="W1" s="96"/>
      <c r="X1" s="720"/>
      <c r="Y1" s="720"/>
    </row>
    <row r="2" spans="1:26">
      <c r="A2" s="721" t="s">
        <v>203</v>
      </c>
      <c r="B2" s="721"/>
      <c r="C2" s="721"/>
      <c r="D2" s="721"/>
      <c r="E2" s="721"/>
      <c r="F2" s="721"/>
      <c r="G2" s="721"/>
      <c r="H2" s="721"/>
      <c r="I2" s="721"/>
      <c r="J2" s="721"/>
      <c r="K2" s="721"/>
      <c r="L2" s="721"/>
      <c r="M2" s="721"/>
      <c r="N2" s="721"/>
      <c r="O2" s="721"/>
      <c r="P2" s="721"/>
      <c r="Q2" s="721"/>
      <c r="R2" s="721"/>
      <c r="S2" s="721"/>
      <c r="T2" s="721"/>
      <c r="U2" s="722"/>
      <c r="V2" s="721"/>
      <c r="W2" s="721"/>
      <c r="X2" s="717"/>
      <c r="Y2" s="717"/>
    </row>
    <row r="3" spans="1:26">
      <c r="A3" s="715" t="s">
        <v>204</v>
      </c>
      <c r="B3" s="716" t="s">
        <v>122</v>
      </c>
    </row>
    <row r="4" spans="1:26">
      <c r="A4" s="715" t="s">
        <v>205</v>
      </c>
      <c r="B4" s="716" t="s">
        <v>124</v>
      </c>
      <c r="Q4" s="553"/>
    </row>
    <row r="5" spans="1:26">
      <c r="A5" s="715" t="s">
        <v>206</v>
      </c>
      <c r="B5" s="716" t="s">
        <v>126</v>
      </c>
    </row>
    <row r="6" ht="21.95" customHeight="1" spans="1:26">
      <c r="A6" s="723" t="s">
        <v>207</v>
      </c>
      <c r="B6" s="723" t="s">
        <v>208</v>
      </c>
      <c r="C6" s="724" t="s">
        <v>209</v>
      </c>
      <c r="D6" s="725"/>
      <c r="E6" s="725"/>
      <c r="F6" s="725"/>
      <c r="G6" s="725"/>
      <c r="H6" s="725"/>
      <c r="I6" s="725"/>
      <c r="J6" s="725"/>
      <c r="K6" s="725"/>
      <c r="L6" s="725"/>
      <c r="M6" s="726"/>
      <c r="N6" s="727" t="s">
        <v>210</v>
      </c>
      <c r="O6" s="728"/>
      <c r="P6" s="728"/>
      <c r="Q6" s="728"/>
      <c r="R6" s="728"/>
      <c r="S6" s="728"/>
      <c r="T6" s="728"/>
      <c r="U6" s="729"/>
      <c r="V6" s="730"/>
      <c r="W6" s="731" t="s">
        <v>211</v>
      </c>
    </row>
    <row r="7" ht="46.5" customHeight="1" spans="1:26">
      <c r="A7" s="723"/>
      <c r="B7" s="723"/>
      <c r="C7" s="732" t="s">
        <v>212</v>
      </c>
      <c r="D7" s="732" t="s">
        <v>213</v>
      </c>
      <c r="E7" s="733" t="s">
        <v>214</v>
      </c>
      <c r="F7" s="733" t="s">
        <v>215</v>
      </c>
      <c r="G7" s="732" t="s">
        <v>216</v>
      </c>
      <c r="H7" s="732" t="s">
        <v>217</v>
      </c>
      <c r="I7" s="732" t="s">
        <v>218</v>
      </c>
      <c r="J7" s="732" t="s">
        <v>219</v>
      </c>
      <c r="K7" s="732" t="s">
        <v>220</v>
      </c>
      <c r="L7" s="732" t="s">
        <v>221</v>
      </c>
      <c r="M7" s="732" t="s">
        <v>111</v>
      </c>
      <c r="N7" s="734" t="s">
        <v>212</v>
      </c>
      <c r="O7" s="734" t="s">
        <v>213</v>
      </c>
      <c r="P7" s="735" t="s">
        <v>214</v>
      </c>
      <c r="Q7" s="734" t="s">
        <v>218</v>
      </c>
      <c r="R7" s="734" t="s">
        <v>216</v>
      </c>
      <c r="S7" s="734" t="s">
        <v>222</v>
      </c>
      <c r="T7" s="734" t="s">
        <v>223</v>
      </c>
      <c r="U7" s="734" t="s">
        <v>154</v>
      </c>
      <c r="V7" s="734" t="s">
        <v>111</v>
      </c>
      <c r="W7" s="731"/>
    </row>
    <row r="8" s="708" customFormat="1" ht="21" customHeight="1" spans="1:26">
      <c r="A8" s="1029" t="s">
        <v>224</v>
      </c>
      <c r="B8" s="737" t="s">
        <v>225</v>
      </c>
      <c r="C8" s="738"/>
      <c r="D8" s="738"/>
      <c r="E8" s="738"/>
      <c r="F8" s="738"/>
      <c r="G8" s="738"/>
      <c r="H8" s="738"/>
      <c r="I8" s="738"/>
      <c r="J8" s="738"/>
      <c r="K8" s="738"/>
      <c r="L8" s="738"/>
      <c r="M8" s="738"/>
      <c r="N8" s="738"/>
      <c r="O8" s="738"/>
      <c r="P8" s="738"/>
      <c r="Q8" s="738"/>
      <c r="R8" s="738"/>
      <c r="S8" s="738"/>
      <c r="T8" s="738"/>
      <c r="U8" s="739"/>
      <c r="V8" s="740"/>
      <c r="W8" s="741">
        <f>SUM([57]KASHAR!$W$199)</f>
        <v>21333240.216667</v>
      </c>
      <c r="X8" s="714" t="s">
        <v>226</v>
      </c>
      <c r="Y8" s="742"/>
    </row>
    <row r="9" s="708" customFormat="1" ht="21" customHeight="1" spans="1:26">
      <c r="A9" s="743"/>
      <c r="B9" s="744" t="s">
        <v>227</v>
      </c>
      <c r="C9" s="745"/>
      <c r="D9" s="745"/>
      <c r="E9" s="745"/>
      <c r="F9" s="745"/>
      <c r="G9" s="745"/>
      <c r="H9" s="745"/>
      <c r="I9" s="745"/>
      <c r="J9" s="745"/>
      <c r="K9" s="745"/>
      <c r="L9" s="745"/>
      <c r="M9" s="738">
        <f>SUM(C9:L9)</f>
        <v>0</v>
      </c>
      <c r="N9" s="745"/>
      <c r="O9" s="745"/>
      <c r="P9" s="745"/>
      <c r="Q9" s="745"/>
      <c r="R9" s="745">
        <v>219000</v>
      </c>
      <c r="S9" s="738"/>
      <c r="T9" s="738"/>
      <c r="U9" s="745"/>
      <c r="V9" s="738"/>
      <c r="W9" s="746">
        <f>SUM(M9-V9)</f>
        <v>0</v>
      </c>
      <c r="Y9" s="742"/>
    </row>
    <row r="10" s="708" customFormat="1" ht="21" customHeight="1" spans="1:26">
      <c r="A10" s="743"/>
      <c r="B10" s="744" t="s">
        <v>228</v>
      </c>
      <c r="C10" s="745"/>
      <c r="D10" s="745"/>
      <c r="E10" s="745"/>
      <c r="F10" s="745"/>
      <c r="G10" s="745"/>
      <c r="H10" s="745"/>
      <c r="I10" s="745"/>
      <c r="J10" s="745"/>
      <c r="K10" s="745"/>
      <c r="L10" s="745"/>
      <c r="M10" s="738">
        <f>SUM(C10:L10)</f>
        <v>0</v>
      </c>
      <c r="N10" s="745"/>
      <c r="O10" s="745"/>
      <c r="P10" s="745"/>
      <c r="Q10" s="745"/>
      <c r="R10" s="745">
        <v>40000</v>
      </c>
      <c r="S10" s="738"/>
      <c r="T10" s="738"/>
      <c r="U10" s="745"/>
      <c r="V10" s="738"/>
      <c r="W10" s="746">
        <f>SUM(M10-V10)</f>
        <v>0</v>
      </c>
      <c r="Y10" s="742"/>
    </row>
    <row r="11" s="709" customFormat="1" ht="21" customHeight="1" spans="1:26">
      <c r="A11" s="743"/>
      <c r="B11" s="744" t="s">
        <v>229</v>
      </c>
      <c r="C11" s="745"/>
      <c r="D11" s="745"/>
      <c r="E11" s="745"/>
      <c r="F11" s="745"/>
      <c r="G11" s="745"/>
      <c r="H11" s="745"/>
      <c r="I11" s="745"/>
      <c r="J11" s="745"/>
      <c r="K11" s="745"/>
      <c r="L11" s="745"/>
      <c r="M11" s="738"/>
      <c r="N11" s="745"/>
      <c r="O11" s="745"/>
      <c r="P11" s="745"/>
      <c r="Q11" s="745"/>
      <c r="R11" s="745">
        <v>150000</v>
      </c>
      <c r="S11" s="738"/>
      <c r="T11" s="738"/>
      <c r="U11" s="745"/>
      <c r="V11" s="738"/>
      <c r="W11" s="746"/>
      <c r="Y11" s="742"/>
      <c r="Z11" s="708"/>
    </row>
    <row r="12" s="709" customFormat="1" ht="21" customHeight="1" spans="1:26">
      <c r="A12" s="743"/>
      <c r="B12" s="744" t="s">
        <v>230</v>
      </c>
      <c r="C12" s="745"/>
      <c r="D12" s="745"/>
      <c r="E12" s="745"/>
      <c r="F12" s="745"/>
      <c r="G12" s="745"/>
      <c r="H12" s="745"/>
      <c r="I12" s="745"/>
      <c r="J12" s="745"/>
      <c r="K12" s="745"/>
      <c r="L12" s="745"/>
      <c r="M12" s="738"/>
      <c r="N12" s="745"/>
      <c r="O12" s="745"/>
      <c r="P12" s="745"/>
      <c r="Q12" s="745">
        <f>SUM('Mantanaice bor air'!G34)</f>
        <v>18072000</v>
      </c>
      <c r="R12" s="745"/>
      <c r="S12" s="738"/>
      <c r="T12" s="738"/>
      <c r="U12" s="745"/>
      <c r="V12" s="738"/>
      <c r="W12" s="746">
        <f>SUM(M12-V12)</f>
        <v>0</v>
      </c>
      <c r="Y12" s="742"/>
      <c r="Z12" s="708"/>
    </row>
    <row r="13" s="709" customFormat="1" ht="21" customHeight="1" spans="1:26">
      <c r="A13" s="743"/>
      <c r="B13" s="744" t="s">
        <v>231</v>
      </c>
      <c r="C13" s="745"/>
      <c r="D13" s="745"/>
      <c r="E13" s="745"/>
      <c r="F13" s="745"/>
      <c r="G13" s="745"/>
      <c r="H13" s="745"/>
      <c r="I13" s="745"/>
      <c r="J13" s="745"/>
      <c r="K13" s="745"/>
      <c r="L13" s="745"/>
      <c r="M13" s="738"/>
      <c r="N13" s="745"/>
      <c r="O13" s="745"/>
      <c r="P13" s="745"/>
      <c r="Q13" s="745">
        <f>SUM([49]KASHAR!$Q$12)</f>
        <v>4070000</v>
      </c>
      <c r="R13" s="745"/>
      <c r="S13" s="738"/>
      <c r="T13" s="738"/>
      <c r="U13" s="745"/>
      <c r="V13" s="738"/>
      <c r="W13" s="746">
        <f>SUM(M13-V13)</f>
        <v>0</v>
      </c>
      <c r="Y13" s="742"/>
      <c r="Z13" s="708"/>
    </row>
    <row r="14" s="709" customFormat="1" ht="21" customHeight="1" spans="1:26">
      <c r="A14" s="743"/>
      <c r="B14" s="744" t="s">
        <v>232</v>
      </c>
      <c r="C14" s="745"/>
      <c r="D14" s="745"/>
      <c r="E14" s="745"/>
      <c r="F14" s="745"/>
      <c r="G14" s="745"/>
      <c r="H14" s="745"/>
      <c r="I14" s="745"/>
      <c r="J14" s="745"/>
      <c r="K14" s="745"/>
      <c r="L14" s="745"/>
      <c r="M14" s="738"/>
      <c r="N14" s="745"/>
      <c r="O14" s="745"/>
      <c r="P14" s="745"/>
      <c r="Q14" s="745">
        <f>SUM(Sheet1!E5)</f>
        <v>120000000</v>
      </c>
      <c r="R14" s="745"/>
      <c r="S14" s="738"/>
      <c r="T14" s="738"/>
      <c r="U14" s="745"/>
      <c r="V14" s="738"/>
      <c r="W14" s="746">
        <f>SUM(M14-V14)</f>
        <v>0</v>
      </c>
      <c r="X14" s="747" t="s">
        <v>233</v>
      </c>
      <c r="Y14" s="742">
        <f>Q14</f>
        <v>120000000</v>
      </c>
      <c r="Z14" s="708"/>
    </row>
    <row r="15" s="709" customFormat="1" ht="21" customHeight="1" spans="1:26">
      <c r="A15" s="743"/>
      <c r="B15" s="744" t="s">
        <v>234</v>
      </c>
      <c r="C15" s="745"/>
      <c r="D15" s="745"/>
      <c r="E15" s="745"/>
      <c r="F15" s="745"/>
      <c r="G15" s="745"/>
      <c r="H15" s="745"/>
      <c r="I15" s="745"/>
      <c r="J15" s="745"/>
      <c r="K15" s="745"/>
      <c r="L15" s="745"/>
      <c r="M15" s="738"/>
      <c r="N15" s="745"/>
      <c r="O15" s="745"/>
      <c r="P15" s="745"/>
      <c r="Q15" s="745">
        <f>SUM('PENG. GALUNG JAMPU TAHAP KE 2'!I56)</f>
        <v>2531600</v>
      </c>
      <c r="R15" s="745"/>
      <c r="S15" s="738"/>
      <c r="T15" s="738"/>
      <c r="U15" s="745"/>
      <c r="V15" s="738"/>
      <c r="W15" s="746">
        <f>SUM(M15-V15)</f>
        <v>0</v>
      </c>
      <c r="Y15" s="742"/>
      <c r="Z15" s="708"/>
    </row>
    <row r="16" s="709" customFormat="1" ht="21" customHeight="1" spans="1:26">
      <c r="A16" s="743"/>
      <c r="B16" s="744" t="s">
        <v>235</v>
      </c>
      <c r="C16" s="745"/>
      <c r="D16" s="745"/>
      <c r="E16" s="745"/>
      <c r="F16" s="745"/>
      <c r="G16" s="745"/>
      <c r="H16" s="745"/>
      <c r="I16" s="745"/>
      <c r="J16" s="745"/>
      <c r="K16" s="745"/>
      <c r="L16" s="745" t="s">
        <v>226</v>
      </c>
      <c r="M16" s="738"/>
      <c r="N16" s="745"/>
      <c r="O16" s="745"/>
      <c r="P16" s="745"/>
      <c r="Q16" s="745">
        <f>SUM('PENG. LOMPO E TAHAP KE (2)'!I44)</f>
        <v>5132500</v>
      </c>
      <c r="R16" s="745"/>
      <c r="S16" s="738"/>
      <c r="T16" s="738"/>
      <c r="U16" s="745"/>
      <c r="V16" s="738"/>
      <c r="W16" s="746"/>
      <c r="Y16" s="742"/>
      <c r="Z16" s="708"/>
    </row>
    <row r="17" s="709" customFormat="1" ht="21" customHeight="1" spans="1:28">
      <c r="A17" s="743"/>
      <c r="B17" s="744" t="s">
        <v>236</v>
      </c>
      <c r="C17" s="745"/>
      <c r="D17" s="745"/>
      <c r="E17" s="745"/>
      <c r="F17" s="745"/>
      <c r="G17" s="745"/>
      <c r="H17" s="745"/>
      <c r="I17" s="745"/>
      <c r="J17" s="745"/>
      <c r="K17" s="745"/>
      <c r="L17" s="745"/>
      <c r="M17" s="738"/>
      <c r="N17" s="745"/>
      <c r="O17" s="745"/>
      <c r="P17" s="745"/>
      <c r="Q17" s="745">
        <f>SUM([53]KASHAR!$Q$17)</f>
        <v>84686800</v>
      </c>
      <c r="R17" s="745"/>
      <c r="S17" s="738"/>
      <c r="T17" s="738"/>
      <c r="U17" s="745"/>
      <c r="V17" s="738"/>
      <c r="W17" s="746">
        <f t="shared" ref="W17:W22" si="0">SUM(M17-V17)</f>
        <v>0</v>
      </c>
      <c r="Y17" s="742"/>
      <c r="Z17" s="708"/>
    </row>
    <row r="18" s="709" customFormat="1" ht="21" customHeight="1" spans="1:28">
      <c r="A18" s="743"/>
      <c r="B18" s="27" t="s">
        <v>237</v>
      </c>
      <c r="C18" s="748"/>
      <c r="D18" s="748"/>
      <c r="E18" s="748"/>
      <c r="F18" s="749"/>
      <c r="G18" s="748"/>
      <c r="H18" s="748"/>
      <c r="I18" s="748"/>
      <c r="J18" s="749"/>
      <c r="K18" s="749"/>
      <c r="L18" s="749"/>
      <c r="M18" s="738">
        <f>SUM(C18:L18)</f>
        <v>0</v>
      </c>
      <c r="N18" s="749"/>
      <c r="O18" s="749"/>
      <c r="P18" s="749"/>
      <c r="Q18" s="749"/>
      <c r="R18" s="748"/>
      <c r="S18" s="749">
        <v>156000</v>
      </c>
      <c r="T18" s="749"/>
      <c r="U18" s="748"/>
      <c r="V18" s="750"/>
      <c r="W18" s="746">
        <f t="shared" si="0"/>
        <v>0</v>
      </c>
      <c r="Y18" s="751"/>
      <c r="Z18" s="752"/>
    </row>
    <row r="19" s="709" customFormat="1" ht="21" customHeight="1" spans="1:28">
      <c r="A19" s="743"/>
      <c r="B19" s="27" t="s">
        <v>238</v>
      </c>
      <c r="C19" s="748"/>
      <c r="D19" s="748"/>
      <c r="E19" s="748"/>
      <c r="F19" s="749"/>
      <c r="G19" s="748"/>
      <c r="H19" s="748"/>
      <c r="I19" s="748"/>
      <c r="J19" s="749"/>
      <c r="K19" s="749"/>
      <c r="L19" s="749"/>
      <c r="M19" s="738">
        <f>SUM(C19:L19)</f>
        <v>0</v>
      </c>
      <c r="N19" s="749"/>
      <c r="O19" s="749"/>
      <c r="P19" s="749"/>
      <c r="Q19" s="749"/>
      <c r="R19" s="748"/>
      <c r="S19" s="749">
        <v>150000</v>
      </c>
      <c r="T19" s="749"/>
      <c r="U19" s="748"/>
      <c r="V19" s="750"/>
      <c r="W19" s="746">
        <f t="shared" si="0"/>
        <v>0</v>
      </c>
      <c r="Y19" s="751"/>
      <c r="Z19" s="752"/>
    </row>
    <row r="20" s="708" customFormat="1" ht="21" customHeight="1" spans="1:28">
      <c r="A20" s="743"/>
      <c r="B20" s="753" t="s">
        <v>239</v>
      </c>
      <c r="C20" s="754"/>
      <c r="D20" s="754"/>
      <c r="E20" s="754"/>
      <c r="F20" s="755"/>
      <c r="G20" s="754"/>
      <c r="H20" s="754"/>
      <c r="I20" s="754"/>
      <c r="J20" s="755"/>
      <c r="K20" s="755"/>
      <c r="L20" s="755"/>
      <c r="M20" s="756">
        <f>SUM(C20:L20)</f>
        <v>0</v>
      </c>
      <c r="N20" s="755"/>
      <c r="O20" s="755"/>
      <c r="P20" s="755"/>
      <c r="Q20" s="755"/>
      <c r="R20" s="754"/>
      <c r="S20" s="755">
        <v>2530000</v>
      </c>
      <c r="T20" s="755"/>
      <c r="U20" s="754"/>
      <c r="V20" s="757"/>
      <c r="W20" s="758">
        <f t="shared" si="0"/>
        <v>0</v>
      </c>
      <c r="X20" s="759"/>
      <c r="Y20" s="760"/>
    </row>
    <row r="21" s="708" customFormat="1" ht="21" customHeight="1" spans="1:28">
      <c r="A21" s="743"/>
      <c r="B21" s="753" t="s">
        <v>240</v>
      </c>
      <c r="C21" s="754"/>
      <c r="D21" s="754"/>
      <c r="E21" s="754"/>
      <c r="F21" s="755"/>
      <c r="G21" s="754"/>
      <c r="H21" s="754"/>
      <c r="I21" s="754"/>
      <c r="J21" s="755"/>
      <c r="K21" s="755"/>
      <c r="L21" s="755"/>
      <c r="M21" s="756">
        <f>SUM(C21:L21)</f>
        <v>0</v>
      </c>
      <c r="N21" s="755"/>
      <c r="O21" s="755"/>
      <c r="P21" s="755"/>
      <c r="Q21" s="755"/>
      <c r="R21" s="754"/>
      <c r="S21" s="755">
        <v>600000</v>
      </c>
      <c r="T21" s="755"/>
      <c r="U21" s="754"/>
      <c r="V21" s="757"/>
      <c r="W21" s="758">
        <f t="shared" si="0"/>
        <v>0</v>
      </c>
      <c r="X21" s="751"/>
      <c r="Y21" s="760"/>
    </row>
    <row r="22" s="708" customFormat="1" ht="21" customHeight="1" spans="1:28">
      <c r="A22" s="743"/>
      <c r="B22" s="753" t="s">
        <v>241</v>
      </c>
      <c r="C22" s="754"/>
      <c r="D22" s="754"/>
      <c r="E22" s="754"/>
      <c r="F22" s="755"/>
      <c r="G22" s="754"/>
      <c r="H22" s="754"/>
      <c r="I22" s="754"/>
      <c r="J22" s="754"/>
      <c r="K22" s="754"/>
      <c r="L22" s="755"/>
      <c r="M22" s="756"/>
      <c r="N22" s="755"/>
      <c r="O22" s="755"/>
      <c r="P22" s="755"/>
      <c r="Q22" s="755"/>
      <c r="R22" s="754"/>
      <c r="S22" s="755">
        <v>2000000</v>
      </c>
      <c r="T22" s="755"/>
      <c r="U22" s="754"/>
      <c r="V22" s="757"/>
      <c r="W22" s="758">
        <f t="shared" si="0"/>
        <v>0</v>
      </c>
      <c r="Y22" s="742"/>
      <c r="Z22" s="751"/>
      <c r="AA22" s="742"/>
      <c r="AB22" s="742"/>
    </row>
    <row r="23" s="708" customFormat="1" ht="21" customHeight="1" spans="1:28">
      <c r="A23" s="743"/>
      <c r="B23" s="753" t="s">
        <v>242</v>
      </c>
      <c r="C23" s="754"/>
      <c r="D23" s="754"/>
      <c r="E23" s="754"/>
      <c r="F23" s="755"/>
      <c r="G23" s="754"/>
      <c r="H23" s="754"/>
      <c r="I23" s="754"/>
      <c r="J23" s="754"/>
      <c r="K23" s="754"/>
      <c r="L23" s="755"/>
      <c r="M23" s="756"/>
      <c r="N23" s="755"/>
      <c r="O23" s="755"/>
      <c r="P23" s="755"/>
      <c r="Q23" s="755"/>
      <c r="R23" s="754"/>
      <c r="S23" s="755">
        <v>1000000</v>
      </c>
      <c r="T23" s="755"/>
      <c r="U23" s="754"/>
      <c r="V23" s="757"/>
      <c r="W23" s="758"/>
      <c r="Y23" s="742"/>
      <c r="Z23" s="751"/>
      <c r="AA23" s="742"/>
      <c r="AB23" s="742"/>
    </row>
    <row r="24" s="708" customFormat="1" ht="21" customHeight="1" spans="1:28">
      <c r="A24" s="743"/>
      <c r="B24" s="753" t="s">
        <v>243</v>
      </c>
      <c r="C24" s="754"/>
      <c r="D24" s="754"/>
      <c r="E24" s="754"/>
      <c r="F24" s="755"/>
      <c r="G24" s="754"/>
      <c r="H24" s="754"/>
      <c r="I24" s="754"/>
      <c r="J24" s="754"/>
      <c r="K24" s="754"/>
      <c r="L24" s="755"/>
      <c r="M24" s="756"/>
      <c r="N24" s="755"/>
      <c r="O24" s="755"/>
      <c r="P24" s="755"/>
      <c r="Q24" s="755"/>
      <c r="R24" s="754"/>
      <c r="S24" s="755">
        <f>SUM([56]Sheet1!$C$15)</f>
        <v>4569675.2</v>
      </c>
      <c r="T24" s="755"/>
      <c r="U24" s="754"/>
      <c r="V24" s="757"/>
      <c r="W24" s="758"/>
      <c r="Y24" s="742"/>
      <c r="Z24" s="751"/>
      <c r="AA24" s="742"/>
      <c r="AB24" s="742"/>
    </row>
    <row r="25" s="708" customFormat="1" ht="21" customHeight="1" spans="1:28">
      <c r="A25" s="743"/>
      <c r="B25" s="753" t="s">
        <v>244</v>
      </c>
      <c r="C25" s="754"/>
      <c r="D25" s="754"/>
      <c r="E25" s="754"/>
      <c r="F25" s="755"/>
      <c r="G25" s="754"/>
      <c r="H25" s="754"/>
      <c r="I25" s="754"/>
      <c r="J25" s="754"/>
      <c r="K25" s="754"/>
      <c r="L25" s="755"/>
      <c r="M25" s="756"/>
      <c r="N25" s="755"/>
      <c r="O25" s="755"/>
      <c r="P25" s="755"/>
      <c r="Q25" s="755"/>
      <c r="R25" s="754"/>
      <c r="S25" s="755">
        <v>1000000</v>
      </c>
      <c r="T25" s="755"/>
      <c r="U25" s="754"/>
      <c r="V25" s="757"/>
      <c r="W25" s="758"/>
      <c r="Y25" s="742"/>
      <c r="Z25" s="751"/>
      <c r="AA25" s="742"/>
      <c r="AB25" s="742"/>
    </row>
    <row r="26" s="708" customFormat="1" ht="21" customHeight="1" spans="1:28">
      <c r="A26" s="743"/>
      <c r="B26" s="753" t="s">
        <v>245</v>
      </c>
      <c r="C26" s="754"/>
      <c r="D26" s="754"/>
      <c r="E26" s="754"/>
      <c r="F26" s="755"/>
      <c r="G26" s="754"/>
      <c r="H26" s="754"/>
      <c r="I26" s="754"/>
      <c r="J26" s="754"/>
      <c r="K26" s="754"/>
      <c r="L26" s="755"/>
      <c r="M26" s="756"/>
      <c r="N26" s="755"/>
      <c r="O26" s="755"/>
      <c r="P26" s="755"/>
      <c r="Q26" s="755"/>
      <c r="R26" s="754"/>
      <c r="S26" s="755">
        <f>SUM('Pengadaan barang dan jasa'!G24)</f>
        <v>13360000</v>
      </c>
      <c r="T26" s="755"/>
      <c r="U26" s="754"/>
      <c r="V26" s="757"/>
      <c r="W26" s="758"/>
      <c r="Y26" s="742"/>
      <c r="Z26" s="751"/>
      <c r="AA26" s="742"/>
      <c r="AB26" s="742"/>
    </row>
    <row r="27" s="708" customFormat="1" ht="21" customHeight="1" spans="1:28">
      <c r="A27" s="743"/>
      <c r="B27" s="753" t="s">
        <v>246</v>
      </c>
      <c r="C27" s="754"/>
      <c r="D27" s="754"/>
      <c r="E27" s="754"/>
      <c r="F27" s="755"/>
      <c r="G27" s="754"/>
      <c r="H27" s="754"/>
      <c r="I27" s="754"/>
      <c r="J27" s="754"/>
      <c r="K27" s="754"/>
      <c r="L27" s="755"/>
      <c r="M27" s="756"/>
      <c r="N27" s="755"/>
      <c r="O27" s="755"/>
      <c r="P27" s="755"/>
      <c r="Q27" s="755"/>
      <c r="R27" s="754"/>
      <c r="S27" s="755">
        <v>1500000</v>
      </c>
      <c r="T27" s="755"/>
      <c r="U27" s="754"/>
      <c r="V27" s="757"/>
      <c r="W27" s="758"/>
      <c r="Y27" s="742"/>
      <c r="Z27" s="751"/>
      <c r="AA27" s="742"/>
      <c r="AB27" s="742"/>
    </row>
    <row r="28" s="710" customFormat="1" ht="21" customHeight="1" spans="1:28">
      <c r="A28" s="743"/>
      <c r="B28" s="761" t="s">
        <v>247</v>
      </c>
      <c r="C28" s="754"/>
      <c r="D28" s="754"/>
      <c r="E28" s="754"/>
      <c r="F28" s="755"/>
      <c r="G28" s="754"/>
      <c r="H28" s="754"/>
      <c r="I28" s="754"/>
      <c r="J28" s="755"/>
      <c r="K28" s="755"/>
      <c r="L28" s="755"/>
      <c r="M28" s="756"/>
      <c r="N28" s="755"/>
      <c r="O28" s="755"/>
      <c r="P28" s="755"/>
      <c r="Q28" s="755"/>
      <c r="R28" s="754"/>
      <c r="S28" s="755">
        <v>200000</v>
      </c>
      <c r="T28" s="755"/>
      <c r="U28" s="754"/>
      <c r="V28" s="757"/>
      <c r="W28" s="762"/>
      <c r="Y28" s="763"/>
      <c r="Z28" s="763"/>
      <c r="AA28" s="764"/>
    </row>
    <row r="29" s="710" customFormat="1" ht="21" customHeight="1" spans="1:28">
      <c r="A29" s="743"/>
      <c r="B29" s="761" t="s">
        <v>248</v>
      </c>
      <c r="C29" s="754"/>
      <c r="D29" s="754"/>
      <c r="E29" s="754"/>
      <c r="F29" s="755"/>
      <c r="G29" s="754"/>
      <c r="H29" s="754"/>
      <c r="I29" s="754"/>
      <c r="J29" s="755"/>
      <c r="K29" s="755"/>
      <c r="L29" s="755"/>
      <c r="M29" s="756"/>
      <c r="N29" s="755"/>
      <c r="O29" s="755"/>
      <c r="P29" s="755"/>
      <c r="Q29" s="755"/>
      <c r="R29" s="754"/>
      <c r="S29" s="755">
        <v>5000000</v>
      </c>
      <c r="T29" s="755"/>
      <c r="U29" s="754"/>
      <c r="V29" s="757"/>
      <c r="W29" s="762"/>
      <c r="Y29" s="763"/>
      <c r="Z29" s="763"/>
      <c r="AA29" s="764"/>
    </row>
    <row r="30" s="710" customFormat="1" ht="21" customHeight="1" spans="1:28">
      <c r="A30" s="743"/>
      <c r="B30" s="761" t="s">
        <v>249</v>
      </c>
      <c r="C30" s="754"/>
      <c r="D30" s="754"/>
      <c r="E30" s="754"/>
      <c r="F30" s="755"/>
      <c r="G30" s="754"/>
      <c r="H30" s="754"/>
      <c r="I30" s="754"/>
      <c r="J30" s="755"/>
      <c r="K30" s="755"/>
      <c r="L30" s="755"/>
      <c r="M30" s="756"/>
      <c r="N30" s="755"/>
      <c r="O30" s="755"/>
      <c r="P30" s="755"/>
      <c r="Q30" s="755"/>
      <c r="R30" s="754"/>
      <c r="S30" s="755">
        <v>1000000</v>
      </c>
      <c r="T30" s="755"/>
      <c r="U30" s="754"/>
      <c r="V30" s="757"/>
      <c r="W30" s="762"/>
      <c r="Y30" s="763"/>
      <c r="Z30" s="763"/>
      <c r="AA30" s="764"/>
    </row>
    <row r="31" s="710" customFormat="1" ht="21" customHeight="1" spans="1:28">
      <c r="A31" s="743"/>
      <c r="B31" s="761" t="s">
        <v>250</v>
      </c>
      <c r="C31" s="754"/>
      <c r="D31" s="754"/>
      <c r="E31" s="754"/>
      <c r="F31" s="755"/>
      <c r="G31" s="754"/>
      <c r="H31" s="754"/>
      <c r="I31" s="754"/>
      <c r="J31" s="755"/>
      <c r="K31" s="755"/>
      <c r="L31" s="755"/>
      <c r="M31" s="756"/>
      <c r="N31" s="755"/>
      <c r="O31" s="755"/>
      <c r="P31" s="755"/>
      <c r="Q31" s="755"/>
      <c r="R31" s="754"/>
      <c r="S31" s="755">
        <v>3000000</v>
      </c>
      <c r="T31" s="755"/>
      <c r="U31" s="754"/>
      <c r="V31" s="757"/>
      <c r="W31" s="762"/>
      <c r="Y31" s="763"/>
      <c r="Z31" s="763"/>
      <c r="AA31" s="764"/>
    </row>
    <row r="32" s="710" customFormat="1" ht="21" customHeight="1" spans="1:28">
      <c r="A32" s="743"/>
      <c r="B32" s="761" t="s">
        <v>251</v>
      </c>
      <c r="C32" s="754"/>
      <c r="D32" s="754"/>
      <c r="E32" s="754"/>
      <c r="F32" s="755"/>
      <c r="G32" s="754"/>
      <c r="H32" s="754"/>
      <c r="I32" s="754"/>
      <c r="J32" s="755"/>
      <c r="K32" s="755"/>
      <c r="L32" s="755"/>
      <c r="M32" s="756"/>
      <c r="N32" s="755"/>
      <c r="O32" s="755"/>
      <c r="P32" s="755"/>
      <c r="Q32" s="755"/>
      <c r="R32" s="754"/>
      <c r="S32" s="755">
        <v>250000</v>
      </c>
      <c r="T32" s="755"/>
      <c r="U32" s="754"/>
      <c r="V32" s="757"/>
      <c r="W32" s="762"/>
      <c r="Y32" s="763"/>
      <c r="Z32" s="763"/>
      <c r="AA32" s="764"/>
    </row>
    <row r="33" s="710" customFormat="1" ht="21" customHeight="1" spans="1:27">
      <c r="A33" s="743"/>
      <c r="B33" s="765" t="s">
        <v>252</v>
      </c>
      <c r="C33" s="754"/>
      <c r="D33" s="754"/>
      <c r="E33" s="754"/>
      <c r="F33" s="755"/>
      <c r="G33" s="754"/>
      <c r="H33" s="754"/>
      <c r="I33" s="754"/>
      <c r="J33" s="755"/>
      <c r="K33" s="755"/>
      <c r="L33" s="755"/>
      <c r="M33" s="756"/>
      <c r="N33" s="755"/>
      <c r="O33" s="755"/>
      <c r="P33" s="755"/>
      <c r="Q33" s="755"/>
      <c r="R33" s="754"/>
      <c r="S33" s="755">
        <v>2000000</v>
      </c>
      <c r="T33" s="755"/>
      <c r="U33" s="754"/>
      <c r="V33" s="757"/>
      <c r="W33" s="762"/>
      <c r="Y33" s="763"/>
      <c r="Z33" s="763"/>
      <c r="AA33" s="764"/>
    </row>
    <row r="34" s="710" customFormat="1" ht="21" customHeight="1" spans="1:27">
      <c r="A34" s="743"/>
      <c r="B34" s="765" t="s">
        <v>253</v>
      </c>
      <c r="C34" s="754"/>
      <c r="D34" s="754"/>
      <c r="E34" s="754"/>
      <c r="F34" s="755"/>
      <c r="G34" s="754"/>
      <c r="H34" s="754"/>
      <c r="I34" s="754"/>
      <c r="J34" s="755"/>
      <c r="K34" s="755"/>
      <c r="L34" s="755"/>
      <c r="M34" s="756"/>
      <c r="N34" s="755"/>
      <c r="O34" s="755"/>
      <c r="P34" s="755"/>
      <c r="Q34" s="755"/>
      <c r="R34" s="754"/>
      <c r="S34" s="755">
        <v>100000</v>
      </c>
      <c r="T34" s="755"/>
      <c r="U34" s="754"/>
      <c r="V34" s="757"/>
      <c r="W34" s="762"/>
      <c r="Y34" s="763"/>
      <c r="Z34" s="763"/>
      <c r="AA34" s="764"/>
    </row>
    <row r="35" s="710" customFormat="1" ht="21" customHeight="1" spans="1:27">
      <c r="A35" s="743"/>
      <c r="B35" s="765" t="s">
        <v>254</v>
      </c>
      <c r="C35" s="754"/>
      <c r="D35" s="754"/>
      <c r="E35" s="754"/>
      <c r="F35" s="755"/>
      <c r="G35" s="754"/>
      <c r="H35" s="754"/>
      <c r="I35" s="754"/>
      <c r="J35" s="755"/>
      <c r="K35" s="755"/>
      <c r="L35" s="755"/>
      <c r="M35" s="756"/>
      <c r="N35" s="755"/>
      <c r="O35" s="755"/>
      <c r="P35" s="755"/>
      <c r="Q35" s="755"/>
      <c r="R35" s="754"/>
      <c r="S35" s="755">
        <v>100000</v>
      </c>
      <c r="T35" s="755"/>
      <c r="U35" s="754"/>
      <c r="V35" s="757"/>
      <c r="W35" s="762"/>
      <c r="Y35" s="763"/>
      <c r="Z35" s="763"/>
      <c r="AA35" s="764"/>
    </row>
    <row r="36" s="710" customFormat="1" ht="21" customHeight="1" spans="1:27">
      <c r="A36" s="1030" t="s">
        <v>255</v>
      </c>
      <c r="B36" s="767" t="s">
        <v>256</v>
      </c>
      <c r="C36" s="748"/>
      <c r="D36" s="748">
        <v>266000</v>
      </c>
      <c r="E36" s="748"/>
      <c r="F36" s="749"/>
      <c r="G36" s="748"/>
      <c r="H36" s="748"/>
      <c r="I36" s="748"/>
      <c r="J36" s="749"/>
      <c r="K36" s="749"/>
      <c r="L36" s="749"/>
      <c r="M36" s="768">
        <f>SUM(C36:L36)</f>
        <v>266000</v>
      </c>
      <c r="N36" s="749"/>
      <c r="O36" s="749"/>
      <c r="P36" s="749"/>
      <c r="Q36" s="749"/>
      <c r="R36" s="748"/>
      <c r="S36" s="749"/>
      <c r="T36" s="749"/>
      <c r="U36" s="748"/>
      <c r="V36" s="750">
        <f t="shared" ref="V36:V43" si="1">SUM(N36:U36)</f>
        <v>0</v>
      </c>
      <c r="W36" s="769">
        <f t="shared" ref="W36:W43" si="2">SUM(M36-V36)</f>
        <v>266000</v>
      </c>
      <c r="Y36" s="763"/>
      <c r="Z36" s="763"/>
      <c r="AA36" s="764"/>
    </row>
    <row r="37" s="710" customFormat="1" ht="21" customHeight="1" spans="1:27">
      <c r="A37" s="766"/>
      <c r="B37" s="770" t="s">
        <v>257</v>
      </c>
      <c r="C37" s="749"/>
      <c r="D37" s="749">
        <v>390000</v>
      </c>
      <c r="E37" s="749"/>
      <c r="F37" s="749"/>
      <c r="G37" s="749"/>
      <c r="H37" s="749"/>
      <c r="I37" s="749"/>
      <c r="J37" s="749"/>
      <c r="K37" s="749"/>
      <c r="L37" s="749"/>
      <c r="M37" s="768">
        <f>SUM(C37:L37)</f>
        <v>390000</v>
      </c>
      <c r="N37" s="749"/>
      <c r="O37" s="749"/>
      <c r="P37" s="749"/>
      <c r="Q37" s="749"/>
      <c r="R37" s="749"/>
      <c r="S37" s="749"/>
      <c r="T37" s="749"/>
      <c r="U37" s="748"/>
      <c r="V37" s="750">
        <f t="shared" si="1"/>
        <v>0</v>
      </c>
      <c r="W37" s="769">
        <f t="shared" si="2"/>
        <v>390000</v>
      </c>
      <c r="Y37" s="763"/>
      <c r="Z37" s="763"/>
      <c r="AA37" s="764"/>
    </row>
    <row r="38" s="710" customFormat="1" ht="21" customHeight="1" spans="1:27">
      <c r="A38" s="766"/>
      <c r="B38" s="770" t="s">
        <v>258</v>
      </c>
      <c r="C38" s="749">
        <v>500000</v>
      </c>
      <c r="D38" s="749"/>
      <c r="E38" s="749"/>
      <c r="F38" s="749"/>
      <c r="G38" s="749"/>
      <c r="H38" s="749"/>
      <c r="I38" s="749"/>
      <c r="J38" s="749"/>
      <c r="K38" s="749"/>
      <c r="L38" s="749"/>
      <c r="M38" s="768">
        <f t="shared" ref="M38:M46" si="3">SUM(C38:L38)</f>
        <v>500000</v>
      </c>
      <c r="N38" s="749"/>
      <c r="O38" s="749"/>
      <c r="P38" s="749"/>
      <c r="Q38" s="749"/>
      <c r="R38" s="749"/>
      <c r="S38" s="749"/>
      <c r="T38" s="749"/>
      <c r="U38" s="748"/>
      <c r="V38" s="750">
        <f t="shared" si="1"/>
        <v>0</v>
      </c>
      <c r="W38" s="769">
        <f t="shared" si="2"/>
        <v>500000</v>
      </c>
      <c r="Y38" s="763"/>
      <c r="Z38" s="763"/>
      <c r="AA38" s="764"/>
    </row>
    <row r="39" s="710" customFormat="1" ht="21" customHeight="1" spans="1:27">
      <c r="A39" s="766"/>
      <c r="B39" s="770" t="s">
        <v>259</v>
      </c>
      <c r="C39" s="749"/>
      <c r="D39" s="749">
        <v>1184000</v>
      </c>
      <c r="E39" s="749"/>
      <c r="F39" s="749"/>
      <c r="G39" s="749"/>
      <c r="H39" s="749"/>
      <c r="I39" s="749"/>
      <c r="J39" s="749"/>
      <c r="K39" s="749"/>
      <c r="L39" s="749"/>
      <c r="M39" s="768">
        <f t="shared" si="3"/>
        <v>1184000</v>
      </c>
      <c r="N39" s="749"/>
      <c r="O39" s="749"/>
      <c r="P39" s="749"/>
      <c r="Q39" s="749"/>
      <c r="R39" s="749"/>
      <c r="S39" s="749"/>
      <c r="T39" s="749"/>
      <c r="U39" s="748"/>
      <c r="V39" s="750">
        <f t="shared" si="1"/>
        <v>0</v>
      </c>
      <c r="W39" s="769">
        <f t="shared" si="2"/>
        <v>1184000</v>
      </c>
      <c r="Y39" s="763"/>
    </row>
    <row r="40" s="710" customFormat="1" ht="21" customHeight="1" spans="1:27">
      <c r="A40" s="766"/>
      <c r="B40" s="770" t="s">
        <v>260</v>
      </c>
      <c r="C40" s="749">
        <v>100000</v>
      </c>
      <c r="D40" s="749"/>
      <c r="E40" s="749"/>
      <c r="F40" s="749"/>
      <c r="G40" s="749"/>
      <c r="H40" s="749"/>
      <c r="I40" s="749"/>
      <c r="J40" s="749"/>
      <c r="K40" s="749"/>
      <c r="L40" s="749"/>
      <c r="M40" s="768">
        <f t="shared" si="3"/>
        <v>100000</v>
      </c>
      <c r="N40" s="749"/>
      <c r="O40" s="749"/>
      <c r="P40" s="749"/>
      <c r="Q40" s="749"/>
      <c r="R40" s="749"/>
      <c r="S40" s="749"/>
      <c r="T40" s="749"/>
      <c r="U40" s="748"/>
      <c r="V40" s="750">
        <f t="shared" si="1"/>
        <v>0</v>
      </c>
      <c r="W40" s="769">
        <f t="shared" si="2"/>
        <v>100000</v>
      </c>
      <c r="Y40" s="763"/>
    </row>
    <row r="41" s="710" customFormat="1" ht="21" customHeight="1" spans="1:27">
      <c r="A41" s="766"/>
      <c r="B41" s="770" t="s">
        <v>261</v>
      </c>
      <c r="C41" s="749"/>
      <c r="D41" s="749">
        <v>500000</v>
      </c>
      <c r="E41" s="749"/>
      <c r="F41" s="749"/>
      <c r="G41" s="749"/>
      <c r="H41" s="749"/>
      <c r="I41" s="749"/>
      <c r="J41" s="749"/>
      <c r="K41" s="749"/>
      <c r="L41" s="749"/>
      <c r="M41" s="768">
        <f t="shared" si="3"/>
        <v>500000</v>
      </c>
      <c r="N41" s="749"/>
      <c r="O41" s="749"/>
      <c r="P41" s="749"/>
      <c r="Q41" s="749"/>
      <c r="R41" s="771"/>
      <c r="S41" s="749"/>
      <c r="T41" s="749"/>
      <c r="U41" s="749"/>
      <c r="V41" s="750">
        <f t="shared" si="1"/>
        <v>0</v>
      </c>
      <c r="W41" s="769">
        <f t="shared" si="2"/>
        <v>500000</v>
      </c>
      <c r="Y41" s="764"/>
    </row>
    <row r="42" s="710" customFormat="1" ht="21" customHeight="1" spans="1:27">
      <c r="A42" s="1030" t="s">
        <v>262</v>
      </c>
      <c r="B42" s="772" t="s">
        <v>263</v>
      </c>
      <c r="C42" s="773"/>
      <c r="D42" s="773"/>
      <c r="E42" s="749"/>
      <c r="F42" s="749"/>
      <c r="G42" s="774"/>
      <c r="H42" s="774"/>
      <c r="I42" s="774"/>
      <c r="J42" s="749"/>
      <c r="K42" s="749">
        <v>600000</v>
      </c>
      <c r="L42" s="749"/>
      <c r="M42" s="768">
        <f t="shared" si="3"/>
        <v>600000</v>
      </c>
      <c r="N42" s="749"/>
      <c r="O42" s="749"/>
      <c r="P42" s="749"/>
      <c r="Q42" s="749"/>
      <c r="R42" s="749"/>
      <c r="S42" s="749"/>
      <c r="T42" s="749"/>
      <c r="U42" s="748"/>
      <c r="V42" s="750">
        <f t="shared" si="1"/>
        <v>0</v>
      </c>
      <c r="W42" s="769">
        <f t="shared" si="2"/>
        <v>600000</v>
      </c>
      <c r="Y42" s="764"/>
    </row>
    <row r="43" s="710" customFormat="1" ht="21" customHeight="1" spans="1:27">
      <c r="A43" s="766"/>
      <c r="B43" s="775" t="s">
        <v>264</v>
      </c>
      <c r="C43" s="749">
        <v>400000</v>
      </c>
      <c r="D43" s="749"/>
      <c r="E43" s="749"/>
      <c r="F43" s="749"/>
      <c r="G43" s="749"/>
      <c r="H43" s="749"/>
      <c r="I43" s="749"/>
      <c r="J43" s="749"/>
      <c r="K43" s="749"/>
      <c r="L43" s="749"/>
      <c r="M43" s="768">
        <f t="shared" si="3"/>
        <v>400000</v>
      </c>
      <c r="N43" s="749"/>
      <c r="O43" s="749"/>
      <c r="P43" s="749"/>
      <c r="Q43" s="749"/>
      <c r="R43" s="749"/>
      <c r="S43" s="749"/>
      <c r="T43" s="749"/>
      <c r="U43" s="748"/>
      <c r="V43" s="750">
        <f t="shared" si="1"/>
        <v>0</v>
      </c>
      <c r="W43" s="769">
        <f t="shared" si="2"/>
        <v>400000</v>
      </c>
    </row>
    <row r="44" s="710" customFormat="1" ht="21" customHeight="1" spans="1:27">
      <c r="A44" s="1031" t="s">
        <v>265</v>
      </c>
      <c r="B44" s="770"/>
      <c r="C44" s="749"/>
      <c r="D44" s="749"/>
      <c r="E44" s="749"/>
      <c r="F44" s="749"/>
      <c r="G44" s="749"/>
      <c r="H44" s="749"/>
      <c r="I44" s="749"/>
      <c r="J44" s="749"/>
      <c r="K44" s="749"/>
      <c r="L44" s="749"/>
      <c r="M44" s="768">
        <f t="shared" si="3"/>
        <v>0</v>
      </c>
      <c r="N44" s="749"/>
      <c r="O44" s="749"/>
      <c r="P44" s="749"/>
      <c r="Q44" s="749"/>
      <c r="R44" s="749"/>
      <c r="S44" s="749"/>
      <c r="T44" s="749"/>
      <c r="U44" s="748"/>
      <c r="V44" s="750">
        <f t="shared" ref="V44:V69" si="4">SUM(N44:U44)</f>
        <v>0</v>
      </c>
      <c r="W44" s="769">
        <f t="shared" ref="W44:W69" si="5">SUM(M44-V44)</f>
        <v>0</v>
      </c>
    </row>
    <row r="45" s="710" customFormat="1" ht="21" customHeight="1" spans="1:27">
      <c r="A45" s="1031" t="s">
        <v>266</v>
      </c>
      <c r="B45" s="770"/>
      <c r="C45" s="749"/>
      <c r="D45" s="749"/>
      <c r="E45" s="749"/>
      <c r="F45" s="749"/>
      <c r="G45" s="749"/>
      <c r="H45" s="749"/>
      <c r="I45" s="749"/>
      <c r="J45" s="749"/>
      <c r="K45" s="749"/>
      <c r="L45" s="749"/>
      <c r="M45" s="768">
        <f t="shared" si="3"/>
        <v>0</v>
      </c>
      <c r="N45" s="749"/>
      <c r="O45" s="749"/>
      <c r="P45" s="749"/>
      <c r="Q45" s="749"/>
      <c r="R45" s="749"/>
      <c r="S45" s="749"/>
      <c r="T45" s="749"/>
      <c r="U45" s="748"/>
      <c r="V45" s="750">
        <f t="shared" si="4"/>
        <v>0</v>
      </c>
      <c r="W45" s="769">
        <f t="shared" si="5"/>
        <v>0</v>
      </c>
    </row>
    <row r="46" s="710" customFormat="1" ht="21" customHeight="1" spans="1:27">
      <c r="A46" s="1031" t="s">
        <v>267</v>
      </c>
      <c r="B46" s="772"/>
      <c r="C46" s="777"/>
      <c r="D46" s="749"/>
      <c r="E46" s="749"/>
      <c r="F46" s="749"/>
      <c r="G46" s="749"/>
      <c r="H46" s="749"/>
      <c r="I46" s="749"/>
      <c r="J46" s="749"/>
      <c r="K46" s="749"/>
      <c r="L46" s="749"/>
      <c r="M46" s="750">
        <f t="shared" ref="M46:M59" si="6">SUM(C46:K46)</f>
        <v>0</v>
      </c>
      <c r="N46" s="749"/>
      <c r="O46" s="749"/>
      <c r="P46" s="749"/>
      <c r="Q46" s="749"/>
      <c r="R46" s="749"/>
      <c r="S46" s="749"/>
      <c r="T46" s="749"/>
      <c r="U46" s="748"/>
      <c r="V46" s="750">
        <f t="shared" si="4"/>
        <v>0</v>
      </c>
      <c r="W46" s="769">
        <f t="shared" si="5"/>
        <v>0</v>
      </c>
    </row>
    <row r="47" s="710" customFormat="1" ht="21" customHeight="1" spans="1:27">
      <c r="A47" s="1031" t="s">
        <v>268</v>
      </c>
      <c r="B47" s="770"/>
      <c r="C47" s="749"/>
      <c r="D47" s="749"/>
      <c r="E47" s="749"/>
      <c r="F47" s="749"/>
      <c r="G47" s="749"/>
      <c r="H47" s="749"/>
      <c r="I47" s="749"/>
      <c r="J47" s="749"/>
      <c r="K47" s="749"/>
      <c r="L47" s="749"/>
      <c r="M47" s="750">
        <f t="shared" si="6"/>
        <v>0</v>
      </c>
      <c r="N47" s="749"/>
      <c r="O47" s="749"/>
      <c r="P47" s="749"/>
      <c r="Q47" s="749"/>
      <c r="R47" s="749"/>
      <c r="S47" s="749"/>
      <c r="T47" s="749"/>
      <c r="U47" s="748"/>
      <c r="V47" s="750">
        <f t="shared" si="4"/>
        <v>0</v>
      </c>
      <c r="W47" s="769">
        <f t="shared" si="5"/>
        <v>0</v>
      </c>
      <c r="Y47" s="763"/>
    </row>
    <row r="48" s="710" customFormat="1" ht="21" customHeight="1" spans="1:27">
      <c r="A48" s="1031" t="s">
        <v>269</v>
      </c>
      <c r="B48" s="770"/>
      <c r="C48" s="749"/>
      <c r="D48" s="749"/>
      <c r="E48" s="749"/>
      <c r="F48" s="749"/>
      <c r="G48" s="749"/>
      <c r="H48" s="749"/>
      <c r="I48" s="749"/>
      <c r="J48" s="749"/>
      <c r="K48" s="749"/>
      <c r="L48" s="749"/>
      <c r="M48" s="750">
        <f t="shared" si="6"/>
        <v>0</v>
      </c>
      <c r="N48" s="749"/>
      <c r="O48" s="749"/>
      <c r="P48" s="749"/>
      <c r="Q48" s="749"/>
      <c r="R48" s="749"/>
      <c r="S48" s="749"/>
      <c r="T48" s="749"/>
      <c r="U48" s="748"/>
      <c r="V48" s="750">
        <f t="shared" si="4"/>
        <v>0</v>
      </c>
      <c r="W48" s="769">
        <f t="shared" si="5"/>
        <v>0</v>
      </c>
      <c r="Y48" s="763"/>
    </row>
    <row r="49" s="710" customFormat="1" ht="21" customHeight="1" spans="1:25">
      <c r="A49" s="1030" t="s">
        <v>270</v>
      </c>
      <c r="B49" s="770" t="s">
        <v>271</v>
      </c>
      <c r="C49" s="749">
        <v>273858</v>
      </c>
      <c r="D49" s="749"/>
      <c r="E49" s="749"/>
      <c r="F49" s="749"/>
      <c r="G49" s="749"/>
      <c r="H49" s="749"/>
      <c r="I49" s="749"/>
      <c r="J49" s="749"/>
      <c r="K49" s="749"/>
      <c r="L49" s="749"/>
      <c r="M49" s="750">
        <f t="shared" si="6"/>
        <v>273858</v>
      </c>
      <c r="N49" s="749"/>
      <c r="O49" s="749"/>
      <c r="P49" s="749"/>
      <c r="Q49" s="749"/>
      <c r="R49" s="749"/>
      <c r="S49" s="749"/>
      <c r="T49" s="749"/>
      <c r="U49" s="748"/>
      <c r="V49" s="750">
        <f t="shared" si="4"/>
        <v>0</v>
      </c>
      <c r="W49" s="769">
        <f t="shared" si="5"/>
        <v>273858</v>
      </c>
      <c r="Y49" s="763"/>
    </row>
    <row r="50" s="710" customFormat="1" ht="21" customHeight="1" spans="1:25">
      <c r="A50" s="766"/>
      <c r="B50" s="770" t="s">
        <v>272</v>
      </c>
      <c r="C50" s="749">
        <v>150000</v>
      </c>
      <c r="D50" s="749"/>
      <c r="E50" s="749"/>
      <c r="F50" s="749"/>
      <c r="G50" s="749"/>
      <c r="H50" s="749"/>
      <c r="I50" s="749"/>
      <c r="J50" s="749"/>
      <c r="K50" s="749"/>
      <c r="L50" s="749"/>
      <c r="M50" s="750">
        <f t="shared" si="6"/>
        <v>150000</v>
      </c>
      <c r="N50" s="749"/>
      <c r="O50" s="749"/>
      <c r="P50" s="749"/>
      <c r="Q50" s="749"/>
      <c r="R50" s="749"/>
      <c r="S50" s="749"/>
      <c r="T50" s="749"/>
      <c r="U50" s="748"/>
      <c r="V50" s="750">
        <f t="shared" si="4"/>
        <v>0</v>
      </c>
      <c r="W50" s="769">
        <f t="shared" si="5"/>
        <v>150000</v>
      </c>
      <c r="Y50" s="764"/>
    </row>
    <row r="51" s="710" customFormat="1" ht="21" customHeight="1" spans="1:25">
      <c r="A51" s="1032" t="s">
        <v>273</v>
      </c>
      <c r="B51" s="770" t="s">
        <v>274</v>
      </c>
      <c r="C51" s="749"/>
      <c r="D51" s="749">
        <v>634000</v>
      </c>
      <c r="E51" s="749"/>
      <c r="F51" s="749"/>
      <c r="G51" s="749"/>
      <c r="H51" s="749"/>
      <c r="I51" s="749"/>
      <c r="J51" s="749"/>
      <c r="K51" s="749"/>
      <c r="L51" s="749"/>
      <c r="M51" s="750">
        <f t="shared" si="6"/>
        <v>634000</v>
      </c>
      <c r="N51" s="749"/>
      <c r="O51" s="749"/>
      <c r="P51" s="749"/>
      <c r="Q51" s="749"/>
      <c r="R51" s="749"/>
      <c r="S51" s="749"/>
      <c r="T51" s="749"/>
      <c r="U51" s="748"/>
      <c r="V51" s="750">
        <f t="shared" si="4"/>
        <v>0</v>
      </c>
      <c r="W51" s="769">
        <f t="shared" si="5"/>
        <v>634000</v>
      </c>
      <c r="X51" s="764"/>
      <c r="Y51" s="764" t="e">
        <f>#REF!-#REF!</f>
        <v>#REF!</v>
      </c>
    </row>
    <row r="52" s="710" customFormat="1" ht="21" customHeight="1" spans="1:25">
      <c r="A52" s="1031" t="s">
        <v>275</v>
      </c>
      <c r="B52" s="770" t="s">
        <v>276</v>
      </c>
      <c r="C52" s="749"/>
      <c r="D52" s="749">
        <v>500000</v>
      </c>
      <c r="E52" s="749"/>
      <c r="F52" s="749"/>
      <c r="G52" s="749"/>
      <c r="H52" s="749"/>
      <c r="I52" s="749"/>
      <c r="J52" s="749"/>
      <c r="K52" s="749"/>
      <c r="L52" s="749"/>
      <c r="M52" s="750">
        <f t="shared" si="6"/>
        <v>500000</v>
      </c>
      <c r="N52" s="749"/>
      <c r="O52" s="749"/>
      <c r="P52" s="749"/>
      <c r="Q52" s="749"/>
      <c r="R52" s="749"/>
      <c r="S52" s="749"/>
      <c r="T52" s="749"/>
      <c r="U52" s="748"/>
      <c r="V52" s="750">
        <f t="shared" si="4"/>
        <v>0</v>
      </c>
      <c r="W52" s="769">
        <f t="shared" si="5"/>
        <v>500000</v>
      </c>
      <c r="X52" s="764"/>
    </row>
    <row r="53" s="710" customFormat="1" ht="21" customHeight="1" spans="1:25">
      <c r="A53" s="1031" t="s">
        <v>277</v>
      </c>
      <c r="B53" s="770" t="s">
        <v>278</v>
      </c>
      <c r="C53" s="749">
        <v>50000</v>
      </c>
      <c r="D53" s="749"/>
      <c r="E53" s="749"/>
      <c r="F53" s="749"/>
      <c r="G53" s="749"/>
      <c r="H53" s="749"/>
      <c r="I53" s="749"/>
      <c r="J53" s="749"/>
      <c r="K53" s="749"/>
      <c r="L53" s="749"/>
      <c r="M53" s="750">
        <f t="shared" si="6"/>
        <v>50000</v>
      </c>
      <c r="N53" s="749"/>
      <c r="O53" s="749"/>
      <c r="P53" s="749"/>
      <c r="Q53" s="749"/>
      <c r="R53" s="749"/>
      <c r="S53" s="749"/>
      <c r="T53" s="749"/>
      <c r="U53" s="748"/>
      <c r="V53" s="750">
        <f t="shared" si="4"/>
        <v>0</v>
      </c>
      <c r="W53" s="769">
        <f t="shared" si="5"/>
        <v>50000</v>
      </c>
      <c r="X53" s="764"/>
    </row>
    <row r="54" s="710" customFormat="1" ht="21" customHeight="1" spans="1:25">
      <c r="A54" s="776"/>
      <c r="B54" s="770" t="s">
        <v>279</v>
      </c>
      <c r="C54" s="749">
        <v>200000</v>
      </c>
      <c r="D54" s="749"/>
      <c r="E54" s="749"/>
      <c r="F54" s="749"/>
      <c r="G54" s="749"/>
      <c r="H54" s="749"/>
      <c r="I54" s="749"/>
      <c r="J54" s="749"/>
      <c r="K54" s="749"/>
      <c r="L54" s="749"/>
      <c r="M54" s="750">
        <f t="shared" si="6"/>
        <v>200000</v>
      </c>
      <c r="N54" s="749"/>
      <c r="O54" s="749"/>
      <c r="P54" s="749"/>
      <c r="Q54" s="749"/>
      <c r="R54" s="749"/>
      <c r="S54" s="749"/>
      <c r="T54" s="749"/>
      <c r="U54" s="748"/>
      <c r="V54" s="750">
        <f t="shared" si="4"/>
        <v>0</v>
      </c>
      <c r="W54" s="769">
        <f t="shared" si="5"/>
        <v>200000</v>
      </c>
      <c r="X54" s="764"/>
    </row>
    <row r="55" s="710" customFormat="1" ht="21" customHeight="1" spans="1:25">
      <c r="A55" s="1031" t="s">
        <v>280</v>
      </c>
      <c r="B55" s="770" t="s">
        <v>281</v>
      </c>
      <c r="C55" s="749"/>
      <c r="D55" s="749"/>
      <c r="E55" s="749"/>
      <c r="F55" s="749"/>
      <c r="G55" s="749"/>
      <c r="H55" s="749"/>
      <c r="I55" s="749"/>
      <c r="J55" s="749"/>
      <c r="K55" s="749"/>
      <c r="L55" s="749"/>
      <c r="M55" s="750">
        <f t="shared" si="6"/>
        <v>0</v>
      </c>
      <c r="N55" s="749"/>
      <c r="O55" s="749"/>
      <c r="P55" s="749"/>
      <c r="Q55" s="749"/>
      <c r="R55" s="749"/>
      <c r="S55" s="749"/>
      <c r="T55" s="749"/>
      <c r="U55" s="748"/>
      <c r="V55" s="750">
        <f t="shared" si="4"/>
        <v>0</v>
      </c>
      <c r="W55" s="769">
        <f t="shared" si="5"/>
        <v>0</v>
      </c>
      <c r="X55" s="764"/>
    </row>
    <row r="56" s="710" customFormat="1" ht="21" customHeight="1" spans="1:25">
      <c r="A56" s="1031" t="s">
        <v>282</v>
      </c>
      <c r="B56" s="770" t="s">
        <v>281</v>
      </c>
      <c r="C56" s="749"/>
      <c r="D56" s="749"/>
      <c r="E56" s="749"/>
      <c r="F56" s="749"/>
      <c r="G56" s="749"/>
      <c r="H56" s="749"/>
      <c r="I56" s="749"/>
      <c r="J56" s="749"/>
      <c r="K56" s="749"/>
      <c r="L56" s="749"/>
      <c r="M56" s="750">
        <f t="shared" si="6"/>
        <v>0</v>
      </c>
      <c r="N56" s="749"/>
      <c r="O56" s="749"/>
      <c r="P56" s="749"/>
      <c r="Q56" s="749"/>
      <c r="R56" s="749"/>
      <c r="S56" s="749"/>
      <c r="T56" s="749"/>
      <c r="U56" s="748"/>
      <c r="V56" s="750">
        <f t="shared" si="4"/>
        <v>0</v>
      </c>
      <c r="W56" s="769">
        <f t="shared" si="5"/>
        <v>0</v>
      </c>
      <c r="X56" s="764"/>
    </row>
    <row r="57" s="710" customFormat="1" ht="21" customHeight="1" spans="1:25">
      <c r="A57" s="1031" t="s">
        <v>283</v>
      </c>
      <c r="B57" s="770" t="s">
        <v>281</v>
      </c>
      <c r="C57" s="749"/>
      <c r="D57" s="749"/>
      <c r="E57" s="749"/>
      <c r="F57" s="749"/>
      <c r="G57" s="749"/>
      <c r="H57" s="749"/>
      <c r="I57" s="749"/>
      <c r="J57" s="749"/>
      <c r="K57" s="749"/>
      <c r="L57" s="749"/>
      <c r="M57" s="750">
        <f t="shared" si="6"/>
        <v>0</v>
      </c>
      <c r="N57" s="749"/>
      <c r="O57" s="749"/>
      <c r="P57" s="749"/>
      <c r="Q57" s="749"/>
      <c r="R57" s="749"/>
      <c r="S57" s="749"/>
      <c r="T57" s="749"/>
      <c r="U57" s="748"/>
      <c r="V57" s="750">
        <f t="shared" si="4"/>
        <v>0</v>
      </c>
      <c r="W57" s="769">
        <f t="shared" si="5"/>
        <v>0</v>
      </c>
      <c r="X57" s="764"/>
    </row>
    <row r="58" s="710" customFormat="1" ht="21" customHeight="1" spans="1:25">
      <c r="A58" s="1033" t="s">
        <v>284</v>
      </c>
      <c r="B58" s="770" t="s">
        <v>285</v>
      </c>
      <c r="C58" s="749"/>
      <c r="D58" s="749">
        <v>500000</v>
      </c>
      <c r="E58" s="749"/>
      <c r="F58" s="749"/>
      <c r="G58" s="749"/>
      <c r="H58" s="749"/>
      <c r="I58" s="749"/>
      <c r="J58" s="749"/>
      <c r="K58" s="749"/>
      <c r="L58" s="749"/>
      <c r="M58" s="750">
        <f t="shared" si="6"/>
        <v>500000</v>
      </c>
      <c r="N58" s="749"/>
      <c r="O58" s="749"/>
      <c r="P58" s="749"/>
      <c r="Q58" s="749"/>
      <c r="R58" s="749"/>
      <c r="S58" s="749"/>
      <c r="T58" s="749"/>
      <c r="U58" s="748"/>
      <c r="V58" s="750">
        <f t="shared" si="4"/>
        <v>0</v>
      </c>
      <c r="W58" s="769">
        <f t="shared" si="5"/>
        <v>500000</v>
      </c>
      <c r="X58" s="764"/>
    </row>
    <row r="59" s="710" customFormat="1" ht="21" customHeight="1" spans="1:25">
      <c r="A59" s="780"/>
      <c r="B59" s="770" t="s">
        <v>286</v>
      </c>
      <c r="C59" s="749"/>
      <c r="D59" s="749">
        <v>150000</v>
      </c>
      <c r="E59" s="749"/>
      <c r="F59" s="749"/>
      <c r="G59" s="749"/>
      <c r="H59" s="749"/>
      <c r="I59" s="749"/>
      <c r="J59" s="749"/>
      <c r="K59" s="749"/>
      <c r="L59" s="749"/>
      <c r="M59" s="750">
        <f t="shared" si="6"/>
        <v>150000</v>
      </c>
      <c r="N59" s="749"/>
      <c r="O59" s="749"/>
      <c r="P59" s="749"/>
      <c r="Q59" s="749"/>
      <c r="R59" s="749"/>
      <c r="S59" s="749"/>
      <c r="T59" s="749"/>
      <c r="U59" s="748"/>
      <c r="V59" s="750">
        <f t="shared" si="4"/>
        <v>0</v>
      </c>
      <c r="W59" s="769">
        <f t="shared" si="5"/>
        <v>150000</v>
      </c>
      <c r="X59" s="764"/>
    </row>
    <row r="60" s="710" customFormat="1" ht="21" customHeight="1" spans="1:25">
      <c r="A60" s="780"/>
      <c r="B60" s="770" t="s">
        <v>287</v>
      </c>
      <c r="C60" s="749">
        <v>1250000</v>
      </c>
      <c r="D60" s="749"/>
      <c r="E60" s="749"/>
      <c r="F60" s="749"/>
      <c r="G60" s="749"/>
      <c r="H60" s="749"/>
      <c r="I60" s="749"/>
      <c r="J60" s="749"/>
      <c r="K60" s="749"/>
      <c r="L60" s="749"/>
      <c r="M60" s="750">
        <f>SUM(C60:L60)</f>
        <v>1250000</v>
      </c>
      <c r="N60" s="749"/>
      <c r="O60" s="749"/>
      <c r="P60" s="749"/>
      <c r="Q60" s="749"/>
      <c r="R60" s="749"/>
      <c r="S60" s="749"/>
      <c r="T60" s="749"/>
      <c r="U60" s="748"/>
      <c r="V60" s="750">
        <f t="shared" si="4"/>
        <v>0</v>
      </c>
      <c r="W60" s="769">
        <f t="shared" si="5"/>
        <v>1250000</v>
      </c>
      <c r="X60" s="764"/>
    </row>
    <row r="61" s="710" customFormat="1" ht="21" customHeight="1" spans="1:25">
      <c r="A61" s="780"/>
      <c r="B61" s="765" t="s">
        <v>288</v>
      </c>
      <c r="C61" s="755"/>
      <c r="D61" s="755"/>
      <c r="E61" s="755"/>
      <c r="F61" s="755"/>
      <c r="G61" s="755"/>
      <c r="H61" s="755"/>
      <c r="I61" s="755"/>
      <c r="J61" s="755"/>
      <c r="K61" s="755"/>
      <c r="L61" s="755"/>
      <c r="M61" s="757">
        <f>SUM(C61:L61)</f>
        <v>0</v>
      </c>
      <c r="N61" s="755"/>
      <c r="O61" s="755"/>
      <c r="P61" s="755"/>
      <c r="Q61" s="755"/>
      <c r="R61" s="755"/>
      <c r="S61" s="755">
        <v>200000</v>
      </c>
      <c r="T61" s="755"/>
      <c r="U61" s="754"/>
      <c r="V61" s="757">
        <f t="shared" si="4"/>
        <v>200000</v>
      </c>
      <c r="W61" s="762">
        <f t="shared" si="5"/>
        <v>-200000</v>
      </c>
      <c r="X61" s="764"/>
    </row>
    <row r="62" s="710" customFormat="1" ht="21" customHeight="1" spans="1:25">
      <c r="A62" s="780"/>
      <c r="B62" s="765" t="s">
        <v>289</v>
      </c>
      <c r="C62" s="755"/>
      <c r="D62" s="755"/>
      <c r="E62" s="755"/>
      <c r="F62" s="755"/>
      <c r="G62" s="755"/>
      <c r="H62" s="755"/>
      <c r="I62" s="755"/>
      <c r="J62" s="755"/>
      <c r="K62" s="755"/>
      <c r="L62" s="755"/>
      <c r="M62" s="757">
        <f>SUM(C62:K62)</f>
        <v>0</v>
      </c>
      <c r="N62" s="755"/>
      <c r="O62" s="755"/>
      <c r="P62" s="755"/>
      <c r="Q62" s="755"/>
      <c r="R62" s="755"/>
      <c r="S62" s="755">
        <v>700000</v>
      </c>
      <c r="T62" s="755"/>
      <c r="U62" s="754"/>
      <c r="V62" s="757">
        <f t="shared" si="4"/>
        <v>700000</v>
      </c>
      <c r="W62" s="762">
        <f t="shared" si="5"/>
        <v>-700000</v>
      </c>
      <c r="X62" s="764"/>
    </row>
    <row r="63" s="710" customFormat="1" ht="21" customHeight="1" spans="1:25">
      <c r="A63" s="780"/>
      <c r="B63" s="765" t="s">
        <v>290</v>
      </c>
      <c r="C63" s="755"/>
      <c r="D63" s="755"/>
      <c r="E63" s="755"/>
      <c r="F63" s="755"/>
      <c r="G63" s="755"/>
      <c r="H63" s="755"/>
      <c r="I63" s="755"/>
      <c r="J63" s="755"/>
      <c r="K63" s="755"/>
      <c r="L63" s="755"/>
      <c r="M63" s="757">
        <f>SUM(C63:K63)</f>
        <v>0</v>
      </c>
      <c r="N63" s="755"/>
      <c r="O63" s="755"/>
      <c r="P63" s="755"/>
      <c r="Q63" s="755"/>
      <c r="R63" s="755"/>
      <c r="S63" s="755">
        <v>300000</v>
      </c>
      <c r="T63" s="755"/>
      <c r="U63" s="754"/>
      <c r="V63" s="757">
        <f t="shared" si="4"/>
        <v>300000</v>
      </c>
      <c r="W63" s="762">
        <f t="shared" si="5"/>
        <v>-300000</v>
      </c>
      <c r="X63" s="764"/>
    </row>
    <row r="64" s="710" customFormat="1" ht="21" customHeight="1" spans="1:25">
      <c r="A64" s="780"/>
      <c r="B64" s="765" t="s">
        <v>291</v>
      </c>
      <c r="C64" s="755"/>
      <c r="D64" s="755"/>
      <c r="E64" s="755"/>
      <c r="F64" s="755"/>
      <c r="G64" s="755"/>
      <c r="H64" s="755"/>
      <c r="I64" s="755"/>
      <c r="J64" s="755"/>
      <c r="K64" s="755"/>
      <c r="L64" s="755"/>
      <c r="M64" s="757">
        <f>SUM(C64:K64)</f>
        <v>0</v>
      </c>
      <c r="N64" s="755"/>
      <c r="O64" s="755"/>
      <c r="P64" s="755"/>
      <c r="Q64" s="755"/>
      <c r="R64" s="755"/>
      <c r="S64" s="755">
        <v>200000</v>
      </c>
      <c r="T64" s="755"/>
      <c r="U64" s="754"/>
      <c r="V64" s="757">
        <f t="shared" si="4"/>
        <v>200000</v>
      </c>
      <c r="W64" s="762">
        <f t="shared" si="5"/>
        <v>-200000</v>
      </c>
      <c r="X64" s="764"/>
    </row>
    <row r="65" s="711" customFormat="1" ht="21" customHeight="1" spans="1:25">
      <c r="A65" s="780"/>
      <c r="B65" s="765" t="s">
        <v>292</v>
      </c>
      <c r="C65" s="754"/>
      <c r="D65" s="754"/>
      <c r="E65" s="757"/>
      <c r="F65" s="757"/>
      <c r="G65" s="754"/>
      <c r="H65" s="757"/>
      <c r="I65" s="757"/>
      <c r="J65" s="757"/>
      <c r="K65" s="757"/>
      <c r="L65" s="757"/>
      <c r="M65" s="757">
        <f>SUM(C65:L65)</f>
        <v>0</v>
      </c>
      <c r="N65" s="757"/>
      <c r="O65" s="757"/>
      <c r="P65" s="757"/>
      <c r="Q65" s="757"/>
      <c r="R65" s="757"/>
      <c r="S65" s="754">
        <v>850000</v>
      </c>
      <c r="T65" s="754"/>
      <c r="U65" s="754"/>
      <c r="V65" s="757">
        <f t="shared" si="4"/>
        <v>850000</v>
      </c>
      <c r="W65" s="762">
        <f t="shared" si="5"/>
        <v>-850000</v>
      </c>
      <c r="X65" s="781"/>
      <c r="Y65" s="781"/>
    </row>
    <row r="66" s="711" customFormat="1" ht="21" customHeight="1" spans="1:25">
      <c r="A66" s="780"/>
      <c r="B66" s="770" t="s">
        <v>293</v>
      </c>
      <c r="C66" s="748"/>
      <c r="D66" s="748"/>
      <c r="E66" s="750"/>
      <c r="F66" s="750"/>
      <c r="G66" s="748"/>
      <c r="H66" s="750"/>
      <c r="I66" s="750"/>
      <c r="J66" s="750"/>
      <c r="K66" s="750">
        <v>350000</v>
      </c>
      <c r="L66" s="750"/>
      <c r="M66" s="750">
        <f>SUM(C66:K66)</f>
        <v>350000</v>
      </c>
      <c r="N66" s="750"/>
      <c r="O66" s="750"/>
      <c r="P66" s="750"/>
      <c r="Q66" s="750"/>
      <c r="R66" s="750"/>
      <c r="S66" s="750"/>
      <c r="T66" s="748"/>
      <c r="U66" s="750"/>
      <c r="V66" s="750">
        <f t="shared" si="4"/>
        <v>0</v>
      </c>
      <c r="W66" s="769">
        <f t="shared" si="5"/>
        <v>350000</v>
      </c>
      <c r="X66" s="781"/>
      <c r="Y66" s="781"/>
    </row>
    <row r="67" s="711" customFormat="1" ht="21" customHeight="1" spans="1:25">
      <c r="A67" s="780"/>
      <c r="B67" s="770" t="s">
        <v>294</v>
      </c>
      <c r="C67" s="748"/>
      <c r="D67" s="748">
        <v>24000000</v>
      </c>
      <c r="E67" s="748"/>
      <c r="F67" s="748"/>
      <c r="G67" s="748"/>
      <c r="H67" s="748"/>
      <c r="I67" s="748"/>
      <c r="J67" s="748"/>
      <c r="K67" s="748"/>
      <c r="L67" s="748"/>
      <c r="M67" s="750">
        <f>SUM(C67:K67)</f>
        <v>24000000</v>
      </c>
      <c r="N67" s="750"/>
      <c r="O67" s="750"/>
      <c r="P67" s="750"/>
      <c r="Q67" s="750"/>
      <c r="R67" s="750"/>
      <c r="S67" s="750"/>
      <c r="T67" s="750"/>
      <c r="U67" s="750"/>
      <c r="V67" s="750">
        <f t="shared" si="4"/>
        <v>0</v>
      </c>
      <c r="W67" s="769">
        <f t="shared" si="5"/>
        <v>24000000</v>
      </c>
      <c r="X67" s="781"/>
      <c r="Y67" s="781"/>
    </row>
    <row r="68" s="711" customFormat="1" ht="21" customHeight="1" spans="1:25">
      <c r="A68" s="780"/>
      <c r="B68" s="765" t="s">
        <v>290</v>
      </c>
      <c r="C68" s="754"/>
      <c r="D68" s="754"/>
      <c r="E68" s="754"/>
      <c r="F68" s="754"/>
      <c r="G68" s="754"/>
      <c r="H68" s="754"/>
      <c r="I68" s="754"/>
      <c r="J68" s="754"/>
      <c r="K68" s="754"/>
      <c r="L68" s="754"/>
      <c r="M68" s="757">
        <f>SUM(C68:K68)</f>
        <v>0</v>
      </c>
      <c r="N68" s="757"/>
      <c r="O68" s="757"/>
      <c r="P68" s="757"/>
      <c r="Q68" s="757"/>
      <c r="R68" s="757"/>
      <c r="S68" s="757">
        <v>380000</v>
      </c>
      <c r="T68" s="754"/>
      <c r="U68" s="757"/>
      <c r="V68" s="757">
        <f t="shared" si="4"/>
        <v>380000</v>
      </c>
      <c r="W68" s="762">
        <f t="shared" si="5"/>
        <v>-380000</v>
      </c>
      <c r="X68" s="781"/>
      <c r="Y68" s="781"/>
    </row>
    <row r="69" s="711" customFormat="1" ht="21" customHeight="1" spans="1:25">
      <c r="A69" s="780"/>
      <c r="B69" s="770" t="s">
        <v>295</v>
      </c>
      <c r="C69" s="748"/>
      <c r="D69" s="748"/>
      <c r="E69" s="748"/>
      <c r="F69" s="748"/>
      <c r="G69" s="748"/>
      <c r="H69" s="748"/>
      <c r="I69" s="748"/>
      <c r="J69" s="748"/>
      <c r="K69" s="748">
        <v>480000</v>
      </c>
      <c r="L69" s="748"/>
      <c r="M69" s="750">
        <f>SUM(C69:K69)</f>
        <v>480000</v>
      </c>
      <c r="N69" s="750"/>
      <c r="O69" s="750"/>
      <c r="P69" s="750"/>
      <c r="Q69" s="750"/>
      <c r="R69" s="750"/>
      <c r="S69" s="750"/>
      <c r="T69" s="750"/>
      <c r="U69" s="750"/>
      <c r="V69" s="750">
        <f t="shared" si="4"/>
        <v>0</v>
      </c>
      <c r="W69" s="769">
        <f t="shared" si="5"/>
        <v>480000</v>
      </c>
      <c r="X69" s="781"/>
      <c r="Y69" s="781"/>
    </row>
    <row r="70" s="711" customFormat="1" ht="21" customHeight="1" spans="1:25">
      <c r="A70" s="780"/>
      <c r="B70" s="770" t="s">
        <v>295</v>
      </c>
      <c r="C70" s="748"/>
      <c r="D70" s="748"/>
      <c r="E70" s="748"/>
      <c r="F70" s="748"/>
      <c r="G70" s="748"/>
      <c r="H70" s="748"/>
      <c r="I70" s="748"/>
      <c r="J70" s="748"/>
      <c r="K70" s="748"/>
      <c r="L70" s="748"/>
      <c r="M70" s="750">
        <f>SUM(C70:L70)</f>
        <v>0</v>
      </c>
      <c r="N70" s="750"/>
      <c r="O70" s="750"/>
      <c r="P70" s="750"/>
      <c r="Q70" s="750"/>
      <c r="R70" s="750"/>
      <c r="S70" s="750"/>
      <c r="T70" s="750">
        <v>480000</v>
      </c>
      <c r="U70" s="750"/>
      <c r="V70" s="750">
        <f t="shared" ref="V70:V98" si="7">SUM(N70:U70)</f>
        <v>480000</v>
      </c>
      <c r="W70" s="769">
        <f t="shared" ref="W70:W98" si="8">SUM(M70-V70)</f>
        <v>-480000</v>
      </c>
      <c r="X70" s="781"/>
      <c r="Y70" s="781">
        <v>3958000</v>
      </c>
    </row>
    <row r="71" s="711" customFormat="1" ht="21" customHeight="1" spans="1:25">
      <c r="A71" s="780"/>
      <c r="B71" s="770" t="s">
        <v>296</v>
      </c>
      <c r="C71" s="748"/>
      <c r="D71" s="748"/>
      <c r="E71" s="748"/>
      <c r="F71" s="748"/>
      <c r="G71" s="748"/>
      <c r="H71" s="748"/>
      <c r="I71" s="748"/>
      <c r="J71" s="748"/>
      <c r="K71" s="748">
        <v>200000</v>
      </c>
      <c r="L71" s="748"/>
      <c r="M71" s="750">
        <f>SUM(C71:L71)</f>
        <v>200000</v>
      </c>
      <c r="N71" s="750"/>
      <c r="O71" s="750"/>
      <c r="P71" s="750"/>
      <c r="Q71" s="750"/>
      <c r="R71" s="750"/>
      <c r="S71" s="750"/>
      <c r="T71" s="750"/>
      <c r="U71" s="750"/>
      <c r="V71" s="750">
        <f t="shared" si="7"/>
        <v>0</v>
      </c>
      <c r="W71" s="769">
        <f t="shared" si="8"/>
        <v>200000</v>
      </c>
      <c r="X71" s="781"/>
      <c r="Y71" s="781"/>
    </row>
    <row r="72" s="711" customFormat="1" ht="21" customHeight="1" spans="1:25">
      <c r="A72" s="780"/>
      <c r="B72" s="770" t="s">
        <v>296</v>
      </c>
      <c r="C72" s="748"/>
      <c r="D72" s="748"/>
      <c r="E72" s="748"/>
      <c r="F72" s="748"/>
      <c r="G72" s="748"/>
      <c r="H72" s="748"/>
      <c r="I72" s="748"/>
      <c r="J72" s="748"/>
      <c r="K72" s="748"/>
      <c r="L72" s="748"/>
      <c r="M72" s="750">
        <f t="shared" ref="M72:M85" si="9">SUM(C72:K72)</f>
        <v>0</v>
      </c>
      <c r="N72" s="750"/>
      <c r="O72" s="750"/>
      <c r="P72" s="750"/>
      <c r="Q72" s="750"/>
      <c r="R72" s="750"/>
      <c r="S72" s="750"/>
      <c r="T72" s="750">
        <v>200000</v>
      </c>
      <c r="U72" s="750"/>
      <c r="V72" s="750">
        <f t="shared" si="7"/>
        <v>200000</v>
      </c>
      <c r="W72" s="769">
        <f t="shared" si="8"/>
        <v>-200000</v>
      </c>
      <c r="X72" s="781"/>
      <c r="Y72" s="781"/>
    </row>
    <row r="73" s="711" customFormat="1" ht="21" customHeight="1" spans="1:25">
      <c r="A73" s="780"/>
      <c r="B73" s="782" t="s">
        <v>297</v>
      </c>
      <c r="C73" s="748"/>
      <c r="D73" s="748"/>
      <c r="E73" s="748"/>
      <c r="F73" s="748"/>
      <c r="G73" s="748"/>
      <c r="H73" s="748"/>
      <c r="I73" s="748"/>
      <c r="J73" s="748"/>
      <c r="K73" s="748">
        <v>700000</v>
      </c>
      <c r="L73" s="748"/>
      <c r="M73" s="750">
        <f t="shared" si="9"/>
        <v>700000</v>
      </c>
      <c r="N73" s="750"/>
      <c r="O73" s="750"/>
      <c r="P73" s="750"/>
      <c r="Q73" s="750"/>
      <c r="R73" s="750"/>
      <c r="S73" s="750"/>
      <c r="T73" s="750"/>
      <c r="U73" s="750"/>
      <c r="V73" s="750">
        <f t="shared" si="7"/>
        <v>0</v>
      </c>
      <c r="W73" s="769">
        <f t="shared" si="8"/>
        <v>700000</v>
      </c>
      <c r="X73" s="781"/>
      <c r="Y73" s="781"/>
    </row>
    <row r="74" s="711" customFormat="1" ht="21" customHeight="1" spans="1:25">
      <c r="A74" s="780"/>
      <c r="B74" s="770" t="s">
        <v>297</v>
      </c>
      <c r="C74" s="748"/>
      <c r="D74" s="748"/>
      <c r="E74" s="748"/>
      <c r="F74" s="748"/>
      <c r="G74" s="748"/>
      <c r="H74" s="748"/>
      <c r="I74" s="748"/>
      <c r="J74" s="748"/>
      <c r="K74" s="748"/>
      <c r="L74" s="748"/>
      <c r="M74" s="750">
        <f t="shared" si="9"/>
        <v>0</v>
      </c>
      <c r="N74" s="750"/>
      <c r="O74" s="750"/>
      <c r="P74" s="750"/>
      <c r="Q74" s="750"/>
      <c r="R74" s="750"/>
      <c r="S74" s="748"/>
      <c r="T74" s="750">
        <v>700000</v>
      </c>
      <c r="U74" s="750"/>
      <c r="V74" s="750">
        <f t="shared" si="7"/>
        <v>700000</v>
      </c>
      <c r="W74" s="769">
        <f t="shared" si="8"/>
        <v>-700000</v>
      </c>
      <c r="X74" s="781"/>
      <c r="Y74" s="781"/>
    </row>
    <row r="75" s="711" customFormat="1" ht="21" customHeight="1" spans="1:25">
      <c r="A75" s="780"/>
      <c r="B75" s="27" t="s">
        <v>298</v>
      </c>
      <c r="C75" s="748"/>
      <c r="D75" s="748"/>
      <c r="E75" s="748"/>
      <c r="F75" s="748"/>
      <c r="G75" s="748"/>
      <c r="H75" s="748"/>
      <c r="I75" s="748"/>
      <c r="J75" s="748"/>
      <c r="K75" s="748">
        <v>1300000</v>
      </c>
      <c r="L75" s="748"/>
      <c r="M75" s="750">
        <f t="shared" si="9"/>
        <v>1300000</v>
      </c>
      <c r="N75" s="750"/>
      <c r="O75" s="750"/>
      <c r="P75" s="750"/>
      <c r="Q75" s="750"/>
      <c r="R75" s="750"/>
      <c r="S75" s="750"/>
      <c r="T75" s="750"/>
      <c r="U75" s="750"/>
      <c r="V75" s="750">
        <f t="shared" si="7"/>
        <v>0</v>
      </c>
      <c r="W75" s="769">
        <f t="shared" si="8"/>
        <v>1300000</v>
      </c>
      <c r="X75" s="781"/>
      <c r="Y75" s="781"/>
    </row>
    <row r="76" s="711" customFormat="1" ht="21" customHeight="1" spans="1:25">
      <c r="A76" s="780"/>
      <c r="B76" s="770" t="s">
        <v>298</v>
      </c>
      <c r="C76" s="748"/>
      <c r="D76" s="748"/>
      <c r="E76" s="748"/>
      <c r="F76" s="748"/>
      <c r="G76" s="748"/>
      <c r="H76" s="748"/>
      <c r="I76" s="748"/>
      <c r="J76" s="748"/>
      <c r="K76" s="748"/>
      <c r="L76" s="748"/>
      <c r="M76" s="750">
        <f t="shared" si="9"/>
        <v>0</v>
      </c>
      <c r="N76" s="750"/>
      <c r="O76" s="750"/>
      <c r="P76" s="750"/>
      <c r="Q76" s="750"/>
      <c r="R76" s="750"/>
      <c r="S76" s="750"/>
      <c r="T76" s="750">
        <v>1300000</v>
      </c>
      <c r="U76" s="750"/>
      <c r="V76" s="750">
        <f t="shared" si="7"/>
        <v>1300000</v>
      </c>
      <c r="W76" s="769">
        <f t="shared" si="8"/>
        <v>-1300000</v>
      </c>
      <c r="X76" s="781"/>
      <c r="Y76" s="781"/>
    </row>
    <row r="77" s="711" customFormat="1" ht="21" customHeight="1" spans="1:25">
      <c r="A77" s="783"/>
      <c r="B77" s="770" t="s">
        <v>299</v>
      </c>
      <c r="C77" s="748"/>
      <c r="D77" s="748"/>
      <c r="E77" s="748"/>
      <c r="F77" s="748"/>
      <c r="G77" s="748"/>
      <c r="H77" s="748"/>
      <c r="I77" s="748"/>
      <c r="J77" s="748"/>
      <c r="K77" s="748">
        <v>325000</v>
      </c>
      <c r="L77" s="748"/>
      <c r="M77" s="750">
        <f t="shared" si="9"/>
        <v>325000</v>
      </c>
      <c r="N77" s="750"/>
      <c r="O77" s="750"/>
      <c r="P77" s="750"/>
      <c r="Q77" s="750"/>
      <c r="R77" s="750"/>
      <c r="S77" s="750"/>
      <c r="T77" s="750"/>
      <c r="U77" s="750"/>
      <c r="V77" s="750">
        <f t="shared" si="7"/>
        <v>0</v>
      </c>
      <c r="W77" s="769">
        <f t="shared" si="8"/>
        <v>325000</v>
      </c>
      <c r="X77" s="781"/>
      <c r="Y77" s="781"/>
    </row>
    <row r="78" s="711" customFormat="1" ht="21" customHeight="1" spans="1:25">
      <c r="A78" s="1034" t="s">
        <v>300</v>
      </c>
      <c r="B78" s="770" t="s">
        <v>301</v>
      </c>
      <c r="C78" s="748"/>
      <c r="D78" s="748"/>
      <c r="E78" s="748"/>
      <c r="F78" s="748"/>
      <c r="G78" s="748">
        <f>SUM('Pengadaan barang dan jasa'!J50)</f>
        <v>280000</v>
      </c>
      <c r="H78" s="748"/>
      <c r="I78" s="748"/>
      <c r="J78" s="748"/>
      <c r="K78" s="748"/>
      <c r="L78" s="748"/>
      <c r="M78" s="750">
        <f t="shared" si="9"/>
        <v>280000</v>
      </c>
      <c r="N78" s="748"/>
      <c r="O78" s="750"/>
      <c r="P78" s="750"/>
      <c r="Q78" s="750"/>
      <c r="R78" s="750"/>
      <c r="S78" s="750"/>
      <c r="T78" s="750"/>
      <c r="U78" s="750"/>
      <c r="V78" s="750">
        <f t="shared" si="7"/>
        <v>0</v>
      </c>
      <c r="W78" s="769">
        <f t="shared" si="8"/>
        <v>280000</v>
      </c>
      <c r="X78" s="781"/>
      <c r="Y78" s="781"/>
    </row>
    <row r="79" s="711" customFormat="1" ht="21" customHeight="1" spans="1:25">
      <c r="A79" s="785"/>
      <c r="B79" s="770" t="s">
        <v>302</v>
      </c>
      <c r="C79" s="748"/>
      <c r="D79" s="748"/>
      <c r="E79" s="748"/>
      <c r="F79" s="748"/>
      <c r="G79" s="748"/>
      <c r="H79" s="748"/>
      <c r="I79" s="748"/>
      <c r="J79" s="748"/>
      <c r="K79" s="748">
        <f>SUM('Pengadaan barang dan jasa'!G50)</f>
        <v>5200000</v>
      </c>
      <c r="L79" s="748"/>
      <c r="M79" s="750">
        <f t="shared" si="9"/>
        <v>5200000</v>
      </c>
      <c r="N79" s="750"/>
      <c r="O79" s="750"/>
      <c r="P79" s="750"/>
      <c r="Q79" s="750"/>
      <c r="R79" s="750"/>
      <c r="S79" s="750"/>
      <c r="T79" s="750"/>
      <c r="U79" s="750"/>
      <c r="V79" s="750">
        <f t="shared" si="7"/>
        <v>0</v>
      </c>
      <c r="W79" s="769">
        <f t="shared" si="8"/>
        <v>5200000</v>
      </c>
      <c r="X79" s="781"/>
      <c r="Y79" s="781"/>
    </row>
    <row r="80" s="711" customFormat="1" ht="21" customHeight="1" spans="1:25">
      <c r="A80" s="785"/>
      <c r="B80" s="770" t="s">
        <v>303</v>
      </c>
      <c r="C80" s="748"/>
      <c r="D80" s="748"/>
      <c r="E80" s="748"/>
      <c r="F80" s="748"/>
      <c r="G80" s="748"/>
      <c r="H80" s="748"/>
      <c r="I80" s="748"/>
      <c r="J80" s="748"/>
      <c r="K80" s="748"/>
      <c r="L80" s="748"/>
      <c r="M80" s="750">
        <f t="shared" si="9"/>
        <v>0</v>
      </c>
      <c r="N80" s="750"/>
      <c r="O80" s="750"/>
      <c r="P80" s="750"/>
      <c r="Q80" s="750"/>
      <c r="R80" s="750"/>
      <c r="S80" s="750"/>
      <c r="T80" s="750">
        <v>530000</v>
      </c>
      <c r="U80" s="750"/>
      <c r="V80" s="750">
        <f t="shared" si="7"/>
        <v>530000</v>
      </c>
      <c r="W80" s="769">
        <f t="shared" si="8"/>
        <v>-530000</v>
      </c>
      <c r="X80" s="781"/>
      <c r="Y80" s="781"/>
    </row>
    <row r="81" s="711" customFormat="1" ht="21" customHeight="1" spans="1:25">
      <c r="A81" s="785"/>
      <c r="B81" s="770" t="s">
        <v>304</v>
      </c>
      <c r="C81" s="748"/>
      <c r="D81" s="748"/>
      <c r="E81" s="748"/>
      <c r="F81" s="748"/>
      <c r="G81" s="748"/>
      <c r="H81" s="748"/>
      <c r="I81" s="748"/>
      <c r="J81" s="748"/>
      <c r="K81" s="748"/>
      <c r="L81" s="748"/>
      <c r="M81" s="750">
        <f t="shared" si="9"/>
        <v>0</v>
      </c>
      <c r="N81" s="750"/>
      <c r="O81" s="750"/>
      <c r="P81" s="750"/>
      <c r="Q81" s="750"/>
      <c r="R81" s="750"/>
      <c r="S81" s="750"/>
      <c r="T81" s="750">
        <v>300000</v>
      </c>
      <c r="U81" s="750"/>
      <c r="V81" s="750">
        <f t="shared" si="7"/>
        <v>300000</v>
      </c>
      <c r="W81" s="769">
        <f t="shared" si="8"/>
        <v>-300000</v>
      </c>
      <c r="X81" s="781"/>
      <c r="Y81" s="781"/>
    </row>
    <row r="82" s="711" customFormat="1" ht="21" customHeight="1" spans="1:25">
      <c r="A82" s="786"/>
      <c r="B82" s="765" t="s">
        <v>305</v>
      </c>
      <c r="C82" s="754"/>
      <c r="D82" s="754"/>
      <c r="E82" s="754"/>
      <c r="F82" s="754"/>
      <c r="G82" s="754"/>
      <c r="H82" s="754"/>
      <c r="I82" s="754"/>
      <c r="J82" s="754"/>
      <c r="K82" s="754"/>
      <c r="L82" s="754"/>
      <c r="M82" s="754">
        <f t="shared" si="9"/>
        <v>0</v>
      </c>
      <c r="N82" s="754"/>
      <c r="O82" s="754"/>
      <c r="P82" s="754"/>
      <c r="Q82" s="754"/>
      <c r="R82" s="754"/>
      <c r="S82" s="754">
        <v>2626000</v>
      </c>
      <c r="T82" s="754"/>
      <c r="U82" s="754"/>
      <c r="V82" s="754">
        <f t="shared" si="7"/>
        <v>2626000</v>
      </c>
      <c r="W82" s="787">
        <f t="shared" si="8"/>
        <v>-2626000</v>
      </c>
      <c r="X82" s="781"/>
      <c r="Y82" s="781"/>
    </row>
    <row r="83" s="711" customFormat="1" ht="21" customHeight="1" spans="1:25">
      <c r="A83" s="1035" t="s">
        <v>306</v>
      </c>
      <c r="B83" s="765" t="s">
        <v>307</v>
      </c>
      <c r="C83" s="754"/>
      <c r="D83" s="754"/>
      <c r="E83" s="754"/>
      <c r="F83" s="754"/>
      <c r="G83" s="754"/>
      <c r="H83" s="754"/>
      <c r="I83" s="754"/>
      <c r="J83" s="754"/>
      <c r="K83" s="754"/>
      <c r="L83" s="754"/>
      <c r="M83" s="754">
        <f t="shared" si="9"/>
        <v>0</v>
      </c>
      <c r="N83" s="754"/>
      <c r="O83" s="754"/>
      <c r="P83" s="754"/>
      <c r="Q83" s="754"/>
      <c r="R83" s="754"/>
      <c r="S83" s="754">
        <v>15000000</v>
      </c>
      <c r="T83" s="754"/>
      <c r="U83" s="754"/>
      <c r="V83" s="754">
        <f t="shared" si="7"/>
        <v>15000000</v>
      </c>
      <c r="W83" s="787">
        <f t="shared" si="8"/>
        <v>-15000000</v>
      </c>
      <c r="X83" s="781"/>
      <c r="Y83" s="781"/>
    </row>
    <row r="84" s="711" customFormat="1" ht="21" customHeight="1" spans="1:25">
      <c r="A84" s="788"/>
      <c r="B84" s="770" t="s">
        <v>308</v>
      </c>
      <c r="C84" s="748"/>
      <c r="D84" s="748"/>
      <c r="E84" s="748"/>
      <c r="F84" s="748"/>
      <c r="G84" s="748"/>
      <c r="H84" s="748"/>
      <c r="I84" s="748"/>
      <c r="J84" s="748"/>
      <c r="K84" s="748">
        <v>27963500</v>
      </c>
      <c r="L84" s="748"/>
      <c r="M84" s="748">
        <f t="shared" si="9"/>
        <v>27963500</v>
      </c>
      <c r="N84" s="748"/>
      <c r="O84" s="748"/>
      <c r="P84" s="748"/>
      <c r="Q84" s="748"/>
      <c r="R84" s="748"/>
      <c r="S84" s="748"/>
      <c r="T84" s="748"/>
      <c r="U84" s="748"/>
      <c r="V84" s="748">
        <f t="shared" si="7"/>
        <v>0</v>
      </c>
      <c r="W84" s="789">
        <f t="shared" si="8"/>
        <v>27963500</v>
      </c>
      <c r="X84" s="781"/>
      <c r="Y84" s="781"/>
    </row>
    <row r="85" s="711" customFormat="1" ht="21" customHeight="1" spans="1:25">
      <c r="A85" s="788"/>
      <c r="B85" s="765" t="s">
        <v>309</v>
      </c>
      <c r="C85" s="754"/>
      <c r="D85" s="754"/>
      <c r="E85" s="754"/>
      <c r="F85" s="754"/>
      <c r="G85" s="754"/>
      <c r="H85" s="754"/>
      <c r="I85" s="754"/>
      <c r="J85" s="754"/>
      <c r="K85" s="754"/>
      <c r="L85" s="754"/>
      <c r="M85" s="754">
        <f t="shared" si="9"/>
        <v>0</v>
      </c>
      <c r="N85" s="754"/>
      <c r="O85" s="754"/>
      <c r="P85" s="754"/>
      <c r="Q85" s="754"/>
      <c r="R85" s="754"/>
      <c r="S85" s="754">
        <v>100000</v>
      </c>
      <c r="T85" s="754"/>
      <c r="U85" s="754"/>
      <c r="V85" s="754">
        <f t="shared" si="7"/>
        <v>100000</v>
      </c>
      <c r="W85" s="787">
        <f t="shared" si="8"/>
        <v>-100000</v>
      </c>
      <c r="X85" s="781"/>
      <c r="Y85" s="781"/>
    </row>
    <row r="86" s="711" customFormat="1" ht="21" customHeight="1" spans="1:25">
      <c r="A86" s="1036" t="s">
        <v>310</v>
      </c>
      <c r="B86" s="770" t="s">
        <v>311</v>
      </c>
      <c r="C86" s="748"/>
      <c r="D86" s="748">
        <v>217000</v>
      </c>
      <c r="E86" s="748"/>
      <c r="F86" s="748"/>
      <c r="G86" s="748"/>
      <c r="H86" s="748"/>
      <c r="I86" s="748"/>
      <c r="J86" s="748"/>
      <c r="K86" s="748"/>
      <c r="L86" s="748"/>
      <c r="M86" s="748">
        <f t="shared" ref="M86:M95" si="10">SUM(C86:K86)</f>
        <v>217000</v>
      </c>
      <c r="N86" s="748"/>
      <c r="O86" s="748"/>
      <c r="P86" s="748"/>
      <c r="Q86" s="748"/>
      <c r="R86" s="748"/>
      <c r="S86" s="748"/>
      <c r="T86" s="748"/>
      <c r="U86" s="748"/>
      <c r="V86" s="748">
        <f t="shared" si="7"/>
        <v>0</v>
      </c>
      <c r="W86" s="789">
        <f t="shared" si="8"/>
        <v>217000</v>
      </c>
      <c r="X86" s="781"/>
      <c r="Y86" s="781"/>
    </row>
    <row r="87" s="711" customFormat="1" ht="21" customHeight="1" spans="1:25">
      <c r="A87" s="1037" t="s">
        <v>312</v>
      </c>
      <c r="B87" s="770" t="s">
        <v>281</v>
      </c>
      <c r="C87" s="748"/>
      <c r="D87" s="748"/>
      <c r="E87" s="748"/>
      <c r="F87" s="748"/>
      <c r="G87" s="748"/>
      <c r="H87" s="748"/>
      <c r="I87" s="748"/>
      <c r="J87" s="748"/>
      <c r="K87" s="748"/>
      <c r="L87" s="748"/>
      <c r="M87" s="748">
        <f t="shared" si="10"/>
        <v>0</v>
      </c>
      <c r="N87" s="748"/>
      <c r="O87" s="748"/>
      <c r="P87" s="748"/>
      <c r="Q87" s="748"/>
      <c r="R87" s="748"/>
      <c r="S87" s="748"/>
      <c r="T87" s="748"/>
      <c r="U87" s="748"/>
      <c r="V87" s="748">
        <f t="shared" si="7"/>
        <v>0</v>
      </c>
      <c r="W87" s="789">
        <f t="shared" si="8"/>
        <v>0</v>
      </c>
      <c r="X87" s="781"/>
      <c r="Y87" s="781"/>
    </row>
    <row r="88" s="711" customFormat="1" ht="21" customHeight="1" spans="1:25">
      <c r="A88" s="1037" t="s">
        <v>313</v>
      </c>
      <c r="B88" s="770" t="s">
        <v>281</v>
      </c>
      <c r="C88" s="748"/>
      <c r="D88" s="748"/>
      <c r="E88" s="748"/>
      <c r="F88" s="748"/>
      <c r="G88" s="748"/>
      <c r="H88" s="748"/>
      <c r="I88" s="748"/>
      <c r="J88" s="748"/>
      <c r="K88" s="748"/>
      <c r="L88" s="748"/>
      <c r="M88" s="748">
        <f t="shared" si="10"/>
        <v>0</v>
      </c>
      <c r="N88" s="748"/>
      <c r="O88" s="748"/>
      <c r="P88" s="748"/>
      <c r="Q88" s="748"/>
      <c r="R88" s="748"/>
      <c r="S88" s="748"/>
      <c r="T88" s="748"/>
      <c r="U88" s="748"/>
      <c r="V88" s="748">
        <f t="shared" si="7"/>
        <v>0</v>
      </c>
      <c r="W88" s="789">
        <f t="shared" si="8"/>
        <v>0</v>
      </c>
      <c r="X88" s="781"/>
      <c r="Y88" s="781"/>
    </row>
    <row r="89" s="712" customFormat="1" ht="21" customHeight="1" spans="1:25">
      <c r="A89" s="1038" t="s">
        <v>314</v>
      </c>
      <c r="B89" s="792" t="s">
        <v>315</v>
      </c>
      <c r="C89" s="793"/>
      <c r="D89" s="793"/>
      <c r="E89" s="793"/>
      <c r="F89" s="793"/>
      <c r="G89" s="793"/>
      <c r="H89" s="793"/>
      <c r="I89" s="793"/>
      <c r="J89" s="793"/>
      <c r="K89" s="793"/>
      <c r="L89" s="793"/>
      <c r="M89" s="793">
        <f t="shared" si="10"/>
        <v>0</v>
      </c>
      <c r="N89" s="793">
        <v>3000000</v>
      </c>
      <c r="O89" s="793"/>
      <c r="P89" s="793"/>
      <c r="Q89" s="793"/>
      <c r="R89" s="793"/>
      <c r="S89" s="793"/>
      <c r="T89" s="793"/>
      <c r="U89" s="793"/>
      <c r="V89" s="793">
        <f t="shared" si="7"/>
        <v>3000000</v>
      </c>
      <c r="W89" s="794">
        <f t="shared" si="8"/>
        <v>-3000000</v>
      </c>
      <c r="X89" s="795"/>
      <c r="Y89" s="795"/>
    </row>
    <row r="90" s="711" customFormat="1" ht="21" customHeight="1" spans="1:25">
      <c r="A90" s="1037" t="s">
        <v>316</v>
      </c>
      <c r="B90" s="770" t="s">
        <v>281</v>
      </c>
      <c r="C90" s="748"/>
      <c r="D90" s="748"/>
      <c r="E90" s="748"/>
      <c r="F90" s="748"/>
      <c r="G90" s="748"/>
      <c r="H90" s="748"/>
      <c r="I90" s="748"/>
      <c r="J90" s="748" t="s">
        <v>226</v>
      </c>
      <c r="K90" s="748"/>
      <c r="L90" s="748"/>
      <c r="M90" s="748">
        <f t="shared" si="10"/>
        <v>0</v>
      </c>
      <c r="N90" s="748"/>
      <c r="O90" s="748"/>
      <c r="P90" s="748"/>
      <c r="Q90" s="748"/>
      <c r="R90" s="748"/>
      <c r="S90" s="748"/>
      <c r="T90" s="748"/>
      <c r="U90" s="748"/>
      <c r="V90" s="748">
        <f t="shared" si="7"/>
        <v>0</v>
      </c>
      <c r="W90" s="789">
        <f t="shared" si="8"/>
        <v>0</v>
      </c>
      <c r="X90" s="781"/>
      <c r="Y90" s="781"/>
    </row>
    <row r="91" s="711" customFormat="1" ht="21" customHeight="1" spans="1:25">
      <c r="A91" s="1034" t="s">
        <v>317</v>
      </c>
      <c r="B91" s="770" t="s">
        <v>318</v>
      </c>
      <c r="C91" s="748"/>
      <c r="D91" s="748"/>
      <c r="E91" s="748"/>
      <c r="F91" s="748"/>
      <c r="G91" s="748"/>
      <c r="H91" s="748"/>
      <c r="I91" s="748"/>
      <c r="J91" s="748"/>
      <c r="K91" s="748">
        <v>36588400</v>
      </c>
      <c r="L91" s="748"/>
      <c r="M91" s="748">
        <f t="shared" si="10"/>
        <v>36588400</v>
      </c>
      <c r="N91" s="748"/>
      <c r="O91" s="748"/>
      <c r="P91" s="748"/>
      <c r="Q91" s="748"/>
      <c r="R91" s="748"/>
      <c r="S91" s="748"/>
      <c r="T91" s="748"/>
      <c r="U91" s="748"/>
      <c r="V91" s="748">
        <f t="shared" si="7"/>
        <v>0</v>
      </c>
      <c r="W91" s="789">
        <f t="shared" si="8"/>
        <v>36588400</v>
      </c>
      <c r="X91" s="781"/>
      <c r="Y91" s="781"/>
    </row>
    <row r="92" s="711" customFormat="1" ht="21" customHeight="1" spans="1:25">
      <c r="A92" s="786"/>
      <c r="B92" s="765" t="s">
        <v>319</v>
      </c>
      <c r="C92" s="754"/>
      <c r="D92" s="754"/>
      <c r="E92" s="754"/>
      <c r="F92" s="754"/>
      <c r="G92" s="754"/>
      <c r="H92" s="754"/>
      <c r="I92" s="754"/>
      <c r="J92" s="754"/>
      <c r="K92" s="754"/>
      <c r="L92" s="754"/>
      <c r="M92" s="754">
        <f t="shared" si="10"/>
        <v>0</v>
      </c>
      <c r="N92" s="754"/>
      <c r="O92" s="754"/>
      <c r="P92" s="754"/>
      <c r="Q92" s="754"/>
      <c r="R92" s="754"/>
      <c r="S92" s="754">
        <v>1750000</v>
      </c>
      <c r="T92" s="754"/>
      <c r="U92" s="754"/>
      <c r="V92" s="754">
        <f t="shared" si="7"/>
        <v>1750000</v>
      </c>
      <c r="W92" s="787">
        <f t="shared" si="8"/>
        <v>-1750000</v>
      </c>
      <c r="X92" s="781"/>
      <c r="Y92" s="781"/>
    </row>
    <row r="93" s="713" customFormat="1" ht="21" customHeight="1" spans="1:25">
      <c r="A93" s="788"/>
      <c r="B93" s="765" t="s">
        <v>320</v>
      </c>
      <c r="C93" s="754"/>
      <c r="D93" s="754"/>
      <c r="E93" s="754"/>
      <c r="F93" s="754"/>
      <c r="G93" s="754"/>
      <c r="H93" s="754"/>
      <c r="I93" s="754"/>
      <c r="J93" s="754"/>
      <c r="K93" s="754"/>
      <c r="L93" s="754"/>
      <c r="M93" s="754">
        <f t="shared" si="10"/>
        <v>0</v>
      </c>
      <c r="N93" s="754"/>
      <c r="O93" s="754"/>
      <c r="P93" s="754"/>
      <c r="Q93" s="754"/>
      <c r="R93" s="754"/>
      <c r="S93" s="754">
        <v>2000000</v>
      </c>
      <c r="T93" s="754"/>
      <c r="U93" s="754"/>
      <c r="V93" s="754">
        <f t="shared" si="7"/>
        <v>2000000</v>
      </c>
      <c r="W93" s="787">
        <f t="shared" si="8"/>
        <v>-2000000</v>
      </c>
      <c r="X93" s="796"/>
      <c r="Y93" s="796"/>
    </row>
    <row r="94" s="713" customFormat="1" ht="21" customHeight="1" spans="1:25">
      <c r="A94" s="788"/>
      <c r="B94" s="770" t="s">
        <v>321</v>
      </c>
      <c r="C94" s="748"/>
      <c r="D94" s="748"/>
      <c r="E94" s="748"/>
      <c r="F94" s="748"/>
      <c r="G94" s="748"/>
      <c r="H94" s="748"/>
      <c r="I94" s="748"/>
      <c r="J94" s="748"/>
      <c r="K94" s="748"/>
      <c r="L94" s="748"/>
      <c r="M94" s="748">
        <f t="shared" si="10"/>
        <v>0</v>
      </c>
      <c r="N94" s="750"/>
      <c r="O94" s="750"/>
      <c r="P94" s="750"/>
      <c r="Q94" s="750"/>
      <c r="R94" s="750"/>
      <c r="S94" s="750"/>
      <c r="T94" s="750">
        <v>400000</v>
      </c>
      <c r="U94" s="750"/>
      <c r="V94" s="750">
        <f t="shared" si="7"/>
        <v>400000</v>
      </c>
      <c r="W94" s="789">
        <f t="shared" si="8"/>
        <v>-400000</v>
      </c>
      <c r="X94" s="796"/>
      <c r="Y94" s="796"/>
    </row>
    <row r="95" s="713" customFormat="1" ht="21" customHeight="1" spans="1:25">
      <c r="A95" s="788"/>
      <c r="B95" s="770" t="s">
        <v>322</v>
      </c>
      <c r="C95" s="748"/>
      <c r="D95" s="748">
        <v>300000</v>
      </c>
      <c r="E95" s="748"/>
      <c r="F95" s="748"/>
      <c r="G95" s="748"/>
      <c r="H95" s="748"/>
      <c r="I95" s="748"/>
      <c r="J95" s="748"/>
      <c r="K95" s="748"/>
      <c r="L95" s="748"/>
      <c r="M95" s="748">
        <f>SUM(C95:L95)</f>
        <v>300000</v>
      </c>
      <c r="N95" s="748"/>
      <c r="O95" s="748"/>
      <c r="P95" s="748"/>
      <c r="Q95" s="748"/>
      <c r="R95" s="748"/>
      <c r="S95" s="748"/>
      <c r="T95" s="748"/>
      <c r="U95" s="748"/>
      <c r="V95" s="748">
        <f t="shared" si="7"/>
        <v>0</v>
      </c>
      <c r="W95" s="789">
        <f t="shared" si="8"/>
        <v>300000</v>
      </c>
      <c r="X95" s="796"/>
      <c r="Y95" s="796"/>
    </row>
    <row r="96" s="713" customFormat="1" ht="21" customHeight="1" spans="1:25">
      <c r="A96" s="788"/>
      <c r="B96" s="770" t="s">
        <v>323</v>
      </c>
      <c r="C96" s="748">
        <v>50000</v>
      </c>
      <c r="D96" s="748"/>
      <c r="E96" s="748"/>
      <c r="F96" s="748"/>
      <c r="G96" s="748"/>
      <c r="H96" s="748"/>
      <c r="I96" s="748"/>
      <c r="J96" s="748"/>
      <c r="K96" s="748"/>
      <c r="L96" s="748"/>
      <c r="M96" s="748">
        <f>SUM(C96:L96)</f>
        <v>50000</v>
      </c>
      <c r="N96" s="748"/>
      <c r="O96" s="748"/>
      <c r="P96" s="748"/>
      <c r="Q96" s="748"/>
      <c r="R96" s="748"/>
      <c r="S96" s="748"/>
      <c r="T96" s="748"/>
      <c r="U96" s="748"/>
      <c r="V96" s="748">
        <f t="shared" si="7"/>
        <v>0</v>
      </c>
      <c r="W96" s="789">
        <f t="shared" si="8"/>
        <v>50000</v>
      </c>
      <c r="X96" s="796"/>
      <c r="Y96" s="796"/>
    </row>
    <row r="97" s="713" customFormat="1" ht="21" customHeight="1" spans="1:25">
      <c r="A97" s="1039" t="s">
        <v>324</v>
      </c>
      <c r="B97" s="770" t="s">
        <v>325</v>
      </c>
      <c r="C97" s="748"/>
      <c r="D97" s="748"/>
      <c r="E97" s="748"/>
      <c r="F97" s="748"/>
      <c r="G97" s="748"/>
      <c r="H97" s="748"/>
      <c r="I97" s="748"/>
      <c r="J97" s="748"/>
      <c r="K97" s="748"/>
      <c r="L97" s="748"/>
      <c r="M97" s="748">
        <f>SUM(C97:L97)</f>
        <v>0</v>
      </c>
      <c r="N97" s="748"/>
      <c r="O97" s="748"/>
      <c r="P97" s="748"/>
      <c r="Q97" s="748"/>
      <c r="R97" s="748"/>
      <c r="S97" s="748"/>
      <c r="T97" s="748">
        <v>40000</v>
      </c>
      <c r="U97" s="748"/>
      <c r="V97" s="748">
        <f t="shared" si="7"/>
        <v>40000</v>
      </c>
      <c r="W97" s="789">
        <f t="shared" si="8"/>
        <v>-40000</v>
      </c>
      <c r="X97" s="796"/>
      <c r="Y97" s="796"/>
    </row>
    <row r="98" s="713" customFormat="1" ht="21" customHeight="1" spans="1:25">
      <c r="A98" s="797"/>
      <c r="B98" s="770" t="s">
        <v>326</v>
      </c>
      <c r="C98" s="748"/>
      <c r="D98" s="748"/>
      <c r="E98" s="748"/>
      <c r="F98" s="748"/>
      <c r="G98" s="748"/>
      <c r="H98" s="748"/>
      <c r="I98" s="748"/>
      <c r="J98" s="748"/>
      <c r="K98" s="748"/>
      <c r="L98" s="748"/>
      <c r="M98" s="748">
        <f t="shared" ref="M98:M110" si="11">SUM(C98:L98)</f>
        <v>0</v>
      </c>
      <c r="N98" s="748"/>
      <c r="O98" s="748"/>
      <c r="P98" s="748"/>
      <c r="Q98" s="748"/>
      <c r="R98" s="748"/>
      <c r="S98" s="748"/>
      <c r="T98" s="748">
        <v>41000</v>
      </c>
      <c r="U98" s="748"/>
      <c r="V98" s="748">
        <f t="shared" ref="V98:V110" si="12">SUM(N98:U98)</f>
        <v>41000</v>
      </c>
      <c r="W98" s="789">
        <f t="shared" ref="W98:W110" si="13">SUM(M98-V98)</f>
        <v>-41000</v>
      </c>
      <c r="X98" s="796"/>
      <c r="Y98" s="796"/>
    </row>
    <row r="99" s="713" customFormat="1" ht="21" customHeight="1" spans="1:25">
      <c r="A99" s="797"/>
      <c r="B99" s="765" t="s">
        <v>327</v>
      </c>
      <c r="C99" s="754"/>
      <c r="D99" s="754"/>
      <c r="E99" s="754"/>
      <c r="F99" s="754"/>
      <c r="G99" s="754"/>
      <c r="H99" s="754"/>
      <c r="I99" s="754"/>
      <c r="J99" s="754"/>
      <c r="K99" s="754"/>
      <c r="L99" s="754"/>
      <c r="M99" s="754">
        <f t="shared" si="11"/>
        <v>0</v>
      </c>
      <c r="N99" s="754"/>
      <c r="O99" s="754"/>
      <c r="P99" s="754"/>
      <c r="Q99" s="754"/>
      <c r="R99" s="754"/>
      <c r="S99" s="754">
        <v>56000</v>
      </c>
      <c r="T99" s="754"/>
      <c r="U99" s="754"/>
      <c r="V99" s="754">
        <f t="shared" si="12"/>
        <v>56000</v>
      </c>
      <c r="W99" s="787">
        <f t="shared" si="13"/>
        <v>-56000</v>
      </c>
      <c r="X99" s="796"/>
      <c r="Y99" s="796"/>
    </row>
    <row r="100" s="713" customFormat="1" ht="21" customHeight="1" spans="1:25">
      <c r="A100" s="797"/>
      <c r="B100" s="770" t="s">
        <v>328</v>
      </c>
      <c r="C100" s="748"/>
      <c r="D100" s="748"/>
      <c r="E100" s="748"/>
      <c r="F100" s="748"/>
      <c r="G100" s="748"/>
      <c r="H100" s="748"/>
      <c r="I100" s="748"/>
      <c r="J100" s="748"/>
      <c r="K100" s="748"/>
      <c r="L100" s="748"/>
      <c r="M100" s="748">
        <f t="shared" si="11"/>
        <v>0</v>
      </c>
      <c r="N100" s="748"/>
      <c r="O100" s="748"/>
      <c r="P100" s="748"/>
      <c r="Q100" s="748"/>
      <c r="R100" s="748"/>
      <c r="S100" s="748"/>
      <c r="T100" s="748"/>
      <c r="U100" s="748">
        <v>55000000</v>
      </c>
      <c r="V100" s="748">
        <f t="shared" si="12"/>
        <v>55000000</v>
      </c>
      <c r="W100" s="789">
        <f t="shared" si="13"/>
        <v>-55000000</v>
      </c>
      <c r="X100" s="796"/>
      <c r="Y100" s="796"/>
    </row>
    <row r="101" s="713" customFormat="1" ht="21" customHeight="1" spans="1:25">
      <c r="A101" s="797"/>
      <c r="B101" s="770" t="s">
        <v>329</v>
      </c>
      <c r="C101" s="748"/>
      <c r="D101" s="748"/>
      <c r="E101" s="748"/>
      <c r="F101" s="748"/>
      <c r="G101" s="748"/>
      <c r="H101" s="748"/>
      <c r="I101" s="748"/>
      <c r="J101" s="748"/>
      <c r="K101" s="748">
        <v>4000</v>
      </c>
      <c r="L101" s="748"/>
      <c r="M101" s="748">
        <f t="shared" si="11"/>
        <v>4000</v>
      </c>
      <c r="N101" s="748"/>
      <c r="O101" s="748"/>
      <c r="P101" s="748"/>
      <c r="Q101" s="748"/>
      <c r="R101" s="748"/>
      <c r="S101" s="748"/>
      <c r="T101" s="748"/>
      <c r="U101" s="748"/>
      <c r="V101" s="748">
        <f t="shared" si="12"/>
        <v>0</v>
      </c>
      <c r="W101" s="789">
        <f t="shared" si="13"/>
        <v>4000</v>
      </c>
      <c r="X101" s="796"/>
      <c r="Y101" s="796"/>
    </row>
    <row r="102" s="714" customFormat="1" ht="21" customHeight="1" spans="1:25">
      <c r="A102" s="797"/>
      <c r="B102" s="770" t="s">
        <v>329</v>
      </c>
      <c r="C102" s="748"/>
      <c r="D102" s="748"/>
      <c r="E102" s="748"/>
      <c r="F102" s="748"/>
      <c r="G102" s="748"/>
      <c r="H102" s="748"/>
      <c r="I102" s="748"/>
      <c r="J102" s="748"/>
      <c r="K102" s="748"/>
      <c r="L102" s="748"/>
      <c r="M102" s="748">
        <f t="shared" si="11"/>
        <v>0</v>
      </c>
      <c r="N102" s="748"/>
      <c r="O102" s="748"/>
      <c r="P102" s="748"/>
      <c r="Q102" s="748"/>
      <c r="R102" s="748"/>
      <c r="S102" s="748"/>
      <c r="T102" s="748">
        <v>4000</v>
      </c>
      <c r="U102" s="748"/>
      <c r="V102" s="748">
        <f t="shared" si="12"/>
        <v>4000</v>
      </c>
      <c r="W102" s="789">
        <f t="shared" si="13"/>
        <v>-4000</v>
      </c>
      <c r="X102" s="798"/>
      <c r="Y102" s="798"/>
    </row>
    <row r="103" s="713" customFormat="1" ht="21" customHeight="1" spans="1:25">
      <c r="A103" s="797"/>
      <c r="B103" s="770" t="s">
        <v>330</v>
      </c>
      <c r="C103" s="748"/>
      <c r="D103" s="748"/>
      <c r="E103" s="748"/>
      <c r="F103" s="748"/>
      <c r="G103" s="748"/>
      <c r="H103" s="748"/>
      <c r="I103" s="748"/>
      <c r="J103" s="748"/>
      <c r="K103" s="748"/>
      <c r="L103" s="748"/>
      <c r="M103" s="748">
        <f t="shared" si="11"/>
        <v>0</v>
      </c>
      <c r="N103" s="750"/>
      <c r="O103" s="750"/>
      <c r="P103" s="750"/>
      <c r="Q103" s="750"/>
      <c r="R103" s="750"/>
      <c r="S103" s="750"/>
      <c r="T103" s="750">
        <v>65000</v>
      </c>
      <c r="U103" s="748"/>
      <c r="V103" s="748">
        <f t="shared" si="12"/>
        <v>65000</v>
      </c>
      <c r="W103" s="789">
        <f t="shared" si="13"/>
        <v>-65000</v>
      </c>
      <c r="X103" s="796"/>
      <c r="Y103" s="796"/>
    </row>
    <row r="104" s="713" customFormat="1" ht="21" customHeight="1" spans="1:25">
      <c r="A104" s="797"/>
      <c r="B104" s="770" t="s">
        <v>331</v>
      </c>
      <c r="C104" s="748"/>
      <c r="D104" s="748"/>
      <c r="E104" s="748"/>
      <c r="F104" s="748"/>
      <c r="G104" s="748"/>
      <c r="H104" s="748"/>
      <c r="I104" s="748"/>
      <c r="J104" s="748"/>
      <c r="K104" s="748"/>
      <c r="L104" s="748"/>
      <c r="M104" s="748">
        <f t="shared" si="11"/>
        <v>0</v>
      </c>
      <c r="N104" s="750"/>
      <c r="O104" s="750"/>
      <c r="P104" s="750"/>
      <c r="Q104" s="750"/>
      <c r="R104" s="750"/>
      <c r="S104" s="750"/>
      <c r="T104" s="748">
        <v>60000</v>
      </c>
      <c r="U104" s="750"/>
      <c r="V104" s="748">
        <f t="shared" si="12"/>
        <v>60000</v>
      </c>
      <c r="W104" s="789">
        <f t="shared" si="13"/>
        <v>-60000</v>
      </c>
      <c r="X104" s="796"/>
      <c r="Y104" s="796"/>
    </row>
    <row r="105" s="713" customFormat="1" ht="21" customHeight="1" spans="1:25">
      <c r="A105" s="1040" t="s">
        <v>332</v>
      </c>
      <c r="B105" s="770" t="s">
        <v>333</v>
      </c>
      <c r="C105" s="748"/>
      <c r="D105" s="748"/>
      <c r="E105" s="748"/>
      <c r="F105" s="748"/>
      <c r="G105" s="748"/>
      <c r="H105" s="748"/>
      <c r="I105" s="748"/>
      <c r="J105" s="748"/>
      <c r="K105" s="748"/>
      <c r="L105" s="748"/>
      <c r="M105" s="748">
        <f t="shared" si="11"/>
        <v>0</v>
      </c>
      <c r="N105" s="750"/>
      <c r="O105" s="750"/>
      <c r="P105" s="750"/>
      <c r="Q105" s="750"/>
      <c r="R105" s="750"/>
      <c r="S105" s="750"/>
      <c r="T105" s="750"/>
      <c r="U105" s="750"/>
      <c r="V105" s="750">
        <f t="shared" si="12"/>
        <v>0</v>
      </c>
      <c r="W105" s="789">
        <f t="shared" si="13"/>
        <v>0</v>
      </c>
      <c r="X105" s="796"/>
      <c r="Y105" s="796"/>
    </row>
    <row r="106" s="713" customFormat="1" ht="21" customHeight="1" spans="1:25">
      <c r="A106" s="1040" t="s">
        <v>334</v>
      </c>
      <c r="B106" s="770" t="s">
        <v>333</v>
      </c>
      <c r="C106" s="748"/>
      <c r="D106" s="748"/>
      <c r="E106" s="748"/>
      <c r="F106" s="748"/>
      <c r="G106" s="748"/>
      <c r="H106" s="748"/>
      <c r="I106" s="748"/>
      <c r="J106" s="748"/>
      <c r="K106" s="748"/>
      <c r="L106" s="748"/>
      <c r="M106" s="748">
        <f t="shared" si="11"/>
        <v>0</v>
      </c>
      <c r="N106" s="750"/>
      <c r="O106" s="750"/>
      <c r="P106" s="750"/>
      <c r="Q106" s="750"/>
      <c r="R106" s="750"/>
      <c r="S106" s="750"/>
      <c r="T106" s="750"/>
      <c r="U106" s="750"/>
      <c r="V106" s="750">
        <f t="shared" si="12"/>
        <v>0</v>
      </c>
      <c r="W106" s="789">
        <f t="shared" si="13"/>
        <v>0</v>
      </c>
      <c r="X106" s="796"/>
      <c r="Y106" s="796"/>
    </row>
    <row r="107" s="713" customFormat="1" ht="21" customHeight="1" spans="1:25">
      <c r="A107" s="1041" t="s">
        <v>335</v>
      </c>
      <c r="B107" s="770" t="s">
        <v>336</v>
      </c>
      <c r="C107" s="748">
        <v>100000</v>
      </c>
      <c r="D107" s="748"/>
      <c r="E107" s="748"/>
      <c r="F107" s="748"/>
      <c r="G107" s="748"/>
      <c r="H107" s="748"/>
      <c r="I107" s="748"/>
      <c r="J107" s="748"/>
      <c r="K107" s="748"/>
      <c r="L107" s="748"/>
      <c r="M107" s="748">
        <f t="shared" si="11"/>
        <v>100000</v>
      </c>
      <c r="N107" s="750"/>
      <c r="O107" s="750"/>
      <c r="P107" s="750"/>
      <c r="Q107" s="750"/>
      <c r="R107" s="750"/>
      <c r="S107" s="750"/>
      <c r="T107" s="750"/>
      <c r="U107" s="750"/>
      <c r="V107" s="750">
        <f t="shared" si="12"/>
        <v>0</v>
      </c>
      <c r="W107" s="789">
        <f t="shared" si="13"/>
        <v>100000</v>
      </c>
      <c r="X107" s="796"/>
      <c r="Y107" s="796"/>
    </row>
    <row r="108" s="713" customFormat="1" ht="21" customHeight="1" spans="1:25">
      <c r="A108" s="800"/>
      <c r="B108" s="770" t="s">
        <v>337</v>
      </c>
      <c r="C108" s="748">
        <v>150000</v>
      </c>
      <c r="D108" s="748"/>
      <c r="E108" s="748"/>
      <c r="F108" s="748"/>
      <c r="G108" s="748"/>
      <c r="H108" s="748"/>
      <c r="I108" s="748"/>
      <c r="J108" s="748"/>
      <c r="K108" s="748"/>
      <c r="L108" s="748"/>
      <c r="M108" s="748">
        <f t="shared" si="11"/>
        <v>150000</v>
      </c>
      <c r="N108" s="750"/>
      <c r="O108" s="750"/>
      <c r="P108" s="750"/>
      <c r="Q108" s="750"/>
      <c r="R108" s="750"/>
      <c r="S108" s="750"/>
      <c r="T108" s="750"/>
      <c r="U108" s="750"/>
      <c r="V108" s="750">
        <f t="shared" si="12"/>
        <v>0</v>
      </c>
      <c r="W108" s="789">
        <f t="shared" si="13"/>
        <v>150000</v>
      </c>
      <c r="X108" s="796"/>
      <c r="Y108" s="796"/>
    </row>
    <row r="109" s="713" customFormat="1" ht="21" customHeight="1" spans="1:25">
      <c r="A109" s="800"/>
      <c r="B109" s="770" t="s">
        <v>338</v>
      </c>
      <c r="C109" s="748">
        <v>100000</v>
      </c>
      <c r="D109" s="748"/>
      <c r="E109" s="748"/>
      <c r="F109" s="748"/>
      <c r="G109" s="748"/>
      <c r="H109" s="748"/>
      <c r="I109" s="748"/>
      <c r="J109" s="748"/>
      <c r="K109" s="748"/>
      <c r="L109" s="748"/>
      <c r="M109" s="748">
        <f t="shared" si="11"/>
        <v>100000</v>
      </c>
      <c r="N109" s="750"/>
      <c r="O109" s="750"/>
      <c r="P109" s="750"/>
      <c r="Q109" s="750"/>
      <c r="R109" s="750"/>
      <c r="S109" s="750"/>
      <c r="T109" s="750"/>
      <c r="U109" s="750"/>
      <c r="V109" s="750">
        <f t="shared" si="12"/>
        <v>0</v>
      </c>
      <c r="W109" s="789">
        <f t="shared" si="13"/>
        <v>100000</v>
      </c>
      <c r="X109" s="796"/>
      <c r="Y109" s="796"/>
    </row>
    <row r="110" s="713" customFormat="1" ht="21" customHeight="1" spans="1:25">
      <c r="A110" s="800"/>
      <c r="B110" s="770" t="s">
        <v>339</v>
      </c>
      <c r="C110" s="748">
        <v>750000</v>
      </c>
      <c r="D110" s="748"/>
      <c r="E110" s="748"/>
      <c r="F110" s="748"/>
      <c r="G110" s="748"/>
      <c r="H110" s="748"/>
      <c r="I110" s="748"/>
      <c r="J110" s="748"/>
      <c r="K110" s="748"/>
      <c r="L110" s="748"/>
      <c r="M110" s="748">
        <f t="shared" si="11"/>
        <v>750000</v>
      </c>
      <c r="N110" s="750"/>
      <c r="O110" s="750"/>
      <c r="P110" s="750"/>
      <c r="Q110" s="750"/>
      <c r="R110" s="750"/>
      <c r="S110" s="748"/>
      <c r="T110" s="748"/>
      <c r="U110" s="748"/>
      <c r="V110" s="748">
        <f t="shared" si="12"/>
        <v>0</v>
      </c>
      <c r="W110" s="789">
        <f t="shared" si="13"/>
        <v>750000</v>
      </c>
      <c r="X110" s="796"/>
      <c r="Y110" s="796"/>
    </row>
    <row r="111" s="713" customFormat="1" ht="21" customHeight="1" spans="1:25">
      <c r="A111" s="800"/>
      <c r="B111" s="770" t="s">
        <v>340</v>
      </c>
      <c r="C111" s="748"/>
      <c r="D111" s="748">
        <v>250000</v>
      </c>
      <c r="E111" s="748"/>
      <c r="F111" s="748"/>
      <c r="G111" s="748"/>
      <c r="H111" s="748"/>
      <c r="I111" s="748"/>
      <c r="J111" s="748"/>
      <c r="K111" s="748"/>
      <c r="L111" s="748"/>
      <c r="M111" s="748">
        <f t="shared" ref="M111:M131" si="14">SUM(C111:L111)</f>
        <v>250000</v>
      </c>
      <c r="N111" s="750"/>
      <c r="O111" s="750"/>
      <c r="P111" s="750"/>
      <c r="Q111" s="750"/>
      <c r="R111" s="750"/>
      <c r="S111" s="750"/>
      <c r="T111" s="750"/>
      <c r="U111" s="750"/>
      <c r="V111" s="750">
        <f t="shared" ref="V111:V119" si="15">SUM(N111:U111)</f>
        <v>0</v>
      </c>
      <c r="W111" s="789">
        <f t="shared" ref="W111:W119" si="16">SUM(M111-V111)</f>
        <v>250000</v>
      </c>
      <c r="X111" s="796"/>
      <c r="Y111" s="796"/>
    </row>
    <row r="112" s="713" customFormat="1" ht="21" customHeight="1" spans="1:25">
      <c r="A112" s="800"/>
      <c r="B112" s="770" t="s">
        <v>341</v>
      </c>
      <c r="C112" s="748"/>
      <c r="D112" s="748">
        <v>299000</v>
      </c>
      <c r="E112" s="748"/>
      <c r="F112" s="748"/>
      <c r="G112" s="748"/>
      <c r="H112" s="748"/>
      <c r="I112" s="748"/>
      <c r="J112" s="748"/>
      <c r="K112" s="748"/>
      <c r="L112" s="748"/>
      <c r="M112" s="748">
        <f t="shared" si="14"/>
        <v>299000</v>
      </c>
      <c r="N112" s="750"/>
      <c r="O112" s="750"/>
      <c r="P112" s="750"/>
      <c r="Q112" s="750"/>
      <c r="R112" s="750"/>
      <c r="S112" s="750"/>
      <c r="T112" s="750"/>
      <c r="U112" s="750"/>
      <c r="V112" s="750">
        <f t="shared" si="15"/>
        <v>0</v>
      </c>
      <c r="W112" s="789">
        <f t="shared" si="16"/>
        <v>299000</v>
      </c>
      <c r="X112" s="796"/>
      <c r="Y112" s="796"/>
    </row>
    <row r="113" s="713" customFormat="1" ht="21" customHeight="1" spans="1:25">
      <c r="A113" s="800"/>
      <c r="B113" s="801" t="s">
        <v>342</v>
      </c>
      <c r="C113" s="748"/>
      <c r="D113" s="748">
        <v>356500</v>
      </c>
      <c r="E113" s="748"/>
      <c r="F113" s="748"/>
      <c r="G113" s="748"/>
      <c r="H113" s="748"/>
      <c r="I113" s="748"/>
      <c r="J113" s="748"/>
      <c r="K113" s="748"/>
      <c r="L113" s="748"/>
      <c r="M113" s="748">
        <f t="shared" si="14"/>
        <v>356500</v>
      </c>
      <c r="N113" s="750"/>
      <c r="O113" s="750"/>
      <c r="P113" s="750"/>
      <c r="Q113" s="750"/>
      <c r="R113" s="750"/>
      <c r="S113" s="750"/>
      <c r="T113" s="750"/>
      <c r="U113" s="750"/>
      <c r="V113" s="750">
        <f t="shared" si="15"/>
        <v>0</v>
      </c>
      <c r="W113" s="789">
        <f t="shared" si="16"/>
        <v>356500</v>
      </c>
      <c r="X113" s="796"/>
      <c r="Y113" s="796"/>
    </row>
    <row r="114" s="713" customFormat="1" ht="21" customHeight="1" spans="1:25">
      <c r="A114" s="800"/>
      <c r="B114" s="770" t="s">
        <v>343</v>
      </c>
      <c r="C114" s="748">
        <v>100000</v>
      </c>
      <c r="D114" s="748"/>
      <c r="E114" s="748"/>
      <c r="F114" s="748"/>
      <c r="G114" s="748"/>
      <c r="H114" s="748"/>
      <c r="I114" s="748"/>
      <c r="J114" s="748"/>
      <c r="K114" s="748"/>
      <c r="L114" s="748"/>
      <c r="M114" s="748">
        <f t="shared" si="14"/>
        <v>100000</v>
      </c>
      <c r="N114" s="750"/>
      <c r="O114" s="750"/>
      <c r="P114" s="750"/>
      <c r="Q114" s="750"/>
      <c r="R114" s="750"/>
      <c r="S114" s="750"/>
      <c r="T114" s="750"/>
      <c r="U114" s="750"/>
      <c r="V114" s="750">
        <f t="shared" si="15"/>
        <v>0</v>
      </c>
      <c r="W114" s="789">
        <f t="shared" si="16"/>
        <v>100000</v>
      </c>
      <c r="X114" s="796"/>
      <c r="Y114" s="796"/>
    </row>
    <row r="115" s="713" customFormat="1" ht="21" customHeight="1" spans="1:25">
      <c r="A115" s="800"/>
      <c r="B115" s="770" t="s">
        <v>344</v>
      </c>
      <c r="C115" s="748">
        <v>400000</v>
      </c>
      <c r="D115" s="748"/>
      <c r="E115" s="748"/>
      <c r="F115" s="748"/>
      <c r="G115" s="748"/>
      <c r="H115" s="748"/>
      <c r="I115" s="748"/>
      <c r="J115" s="748"/>
      <c r="K115" s="748"/>
      <c r="L115" s="748"/>
      <c r="M115" s="748">
        <f t="shared" si="14"/>
        <v>400000</v>
      </c>
      <c r="N115" s="750"/>
      <c r="O115" s="750"/>
      <c r="P115" s="750"/>
      <c r="Q115" s="750"/>
      <c r="R115" s="750"/>
      <c r="S115" s="750"/>
      <c r="T115" s="750"/>
      <c r="U115" s="750"/>
      <c r="V115" s="750">
        <f t="shared" si="15"/>
        <v>0</v>
      </c>
      <c r="W115" s="789">
        <f t="shared" si="16"/>
        <v>400000</v>
      </c>
      <c r="X115" s="796"/>
      <c r="Y115" s="796"/>
    </row>
    <row r="116" s="713" customFormat="1" ht="21" customHeight="1" spans="1:25">
      <c r="A116" s="800"/>
      <c r="B116" s="770" t="s">
        <v>345</v>
      </c>
      <c r="C116" s="748">
        <v>50000</v>
      </c>
      <c r="D116" s="748"/>
      <c r="E116" s="748"/>
      <c r="F116" s="748"/>
      <c r="G116" s="748"/>
      <c r="H116" s="748"/>
      <c r="I116" s="748"/>
      <c r="J116" s="748"/>
      <c r="K116" s="748"/>
      <c r="L116" s="748"/>
      <c r="M116" s="748">
        <f t="shared" si="14"/>
        <v>50000</v>
      </c>
      <c r="N116" s="750"/>
      <c r="O116" s="750"/>
      <c r="P116" s="750"/>
      <c r="Q116" s="750"/>
      <c r="R116" s="750"/>
      <c r="S116" s="750"/>
      <c r="T116" s="750"/>
      <c r="U116" s="748"/>
      <c r="V116" s="750">
        <f t="shared" si="15"/>
        <v>0</v>
      </c>
      <c r="W116" s="789">
        <f t="shared" si="16"/>
        <v>50000</v>
      </c>
      <c r="X116" s="796"/>
      <c r="Y116" s="796"/>
    </row>
    <row r="117" s="713" customFormat="1" ht="21" customHeight="1" spans="1:25">
      <c r="A117" s="800"/>
      <c r="B117" s="770" t="s">
        <v>346</v>
      </c>
      <c r="C117" s="748"/>
      <c r="D117" s="748">
        <v>100000</v>
      </c>
      <c r="E117" s="748"/>
      <c r="F117" s="748"/>
      <c r="G117" s="748"/>
      <c r="H117" s="748"/>
      <c r="I117" s="748"/>
      <c r="J117" s="748"/>
      <c r="K117" s="748"/>
      <c r="L117" s="748"/>
      <c r="M117" s="748">
        <f t="shared" si="14"/>
        <v>100000</v>
      </c>
      <c r="N117" s="750"/>
      <c r="O117" s="750"/>
      <c r="P117" s="750"/>
      <c r="Q117" s="750"/>
      <c r="R117" s="750"/>
      <c r="S117" s="750"/>
      <c r="T117" s="750"/>
      <c r="U117" s="750"/>
      <c r="V117" s="750">
        <f t="shared" si="15"/>
        <v>0</v>
      </c>
      <c r="W117" s="789">
        <f t="shared" si="16"/>
        <v>100000</v>
      </c>
      <c r="X117" s="796"/>
      <c r="Y117" s="796"/>
    </row>
    <row r="118" s="713" customFormat="1" ht="21" customHeight="1" spans="1:25">
      <c r="A118" s="800"/>
      <c r="B118" s="770" t="s">
        <v>347</v>
      </c>
      <c r="C118" s="748">
        <v>225000</v>
      </c>
      <c r="D118" s="748"/>
      <c r="E118" s="748"/>
      <c r="F118" s="748"/>
      <c r="G118" s="748"/>
      <c r="H118" s="748"/>
      <c r="I118" s="748"/>
      <c r="J118" s="748"/>
      <c r="K118" s="748"/>
      <c r="L118" s="748"/>
      <c r="M118" s="748">
        <f t="shared" si="14"/>
        <v>225000</v>
      </c>
      <c r="N118" s="750"/>
      <c r="O118" s="750"/>
      <c r="P118" s="750"/>
      <c r="Q118" s="750"/>
      <c r="R118" s="750"/>
      <c r="S118" s="750"/>
      <c r="T118" s="750"/>
      <c r="U118" s="750"/>
      <c r="V118" s="750">
        <f t="shared" si="15"/>
        <v>0</v>
      </c>
      <c r="W118" s="789">
        <f t="shared" si="16"/>
        <v>225000</v>
      </c>
      <c r="X118" s="796"/>
      <c r="Y118" s="796"/>
    </row>
    <row r="119" s="713" customFormat="1" ht="21" customHeight="1" spans="1:25">
      <c r="A119" s="800"/>
      <c r="B119" s="770" t="s">
        <v>348</v>
      </c>
      <c r="C119" s="748">
        <v>150000</v>
      </c>
      <c r="D119" s="748"/>
      <c r="E119" s="748"/>
      <c r="F119" s="748"/>
      <c r="G119" s="748"/>
      <c r="H119" s="748"/>
      <c r="I119" s="748"/>
      <c r="J119" s="748"/>
      <c r="K119" s="748"/>
      <c r="L119" s="748"/>
      <c r="M119" s="748">
        <f t="shared" si="14"/>
        <v>150000</v>
      </c>
      <c r="N119" s="750"/>
      <c r="O119" s="750"/>
      <c r="P119" s="750"/>
      <c r="Q119" s="750"/>
      <c r="R119" s="750"/>
      <c r="S119" s="750"/>
      <c r="T119" s="750"/>
      <c r="U119" s="750"/>
      <c r="V119" s="750">
        <f t="shared" si="15"/>
        <v>0</v>
      </c>
      <c r="W119" s="789">
        <f t="shared" si="16"/>
        <v>150000</v>
      </c>
      <c r="X119" s="796"/>
      <c r="Y119" s="796"/>
    </row>
    <row r="120" s="713" customFormat="1" ht="21" customHeight="1" spans="1:25">
      <c r="A120" s="800"/>
      <c r="B120" s="770" t="s">
        <v>349</v>
      </c>
      <c r="C120" s="748"/>
      <c r="D120" s="748"/>
      <c r="E120" s="748"/>
      <c r="F120" s="748"/>
      <c r="G120" s="748"/>
      <c r="H120" s="748"/>
      <c r="I120" s="748"/>
      <c r="J120" s="748"/>
      <c r="K120" s="748">
        <v>2325017</v>
      </c>
      <c r="L120" s="748"/>
      <c r="M120" s="748">
        <f t="shared" ref="M120:M125" si="17">SUM(C120:L120)</f>
        <v>2325017</v>
      </c>
      <c r="N120" s="750"/>
      <c r="O120" s="750"/>
      <c r="P120" s="750"/>
      <c r="Q120" s="750"/>
      <c r="R120" s="750"/>
      <c r="S120" s="750"/>
      <c r="T120" s="750"/>
      <c r="U120" s="750"/>
      <c r="V120" s="750">
        <f t="shared" ref="V120:V125" si="18">SUM(N120:U120)</f>
        <v>0</v>
      </c>
      <c r="W120" s="789">
        <f t="shared" ref="W120:W125" si="19">SUM(M120-V120)</f>
        <v>2325017</v>
      </c>
      <c r="X120" s="796"/>
      <c r="Y120" s="796"/>
    </row>
    <row r="121" s="713" customFormat="1" ht="21" customHeight="1" spans="1:25">
      <c r="A121" s="800"/>
      <c r="B121" s="770" t="s">
        <v>350</v>
      </c>
      <c r="C121" s="748"/>
      <c r="D121" s="748"/>
      <c r="E121" s="748"/>
      <c r="F121" s="748"/>
      <c r="G121" s="748"/>
      <c r="H121" s="748"/>
      <c r="I121" s="748"/>
      <c r="J121" s="748"/>
      <c r="K121" s="748"/>
      <c r="L121" s="748"/>
      <c r="M121" s="748">
        <f t="shared" si="17"/>
        <v>0</v>
      </c>
      <c r="N121" s="750"/>
      <c r="O121" s="748">
        <v>2325017</v>
      </c>
      <c r="P121" s="750"/>
      <c r="Q121" s="750"/>
      <c r="R121" s="750"/>
      <c r="S121" s="750"/>
      <c r="T121" s="750"/>
      <c r="U121" s="750"/>
      <c r="V121" s="750">
        <f t="shared" si="18"/>
        <v>2325017</v>
      </c>
      <c r="W121" s="789">
        <f t="shared" si="19"/>
        <v>-2325017</v>
      </c>
      <c r="X121" s="796"/>
      <c r="Y121" s="796"/>
    </row>
    <row r="122" s="713" customFormat="1" ht="21" customHeight="1" spans="1:25">
      <c r="A122" s="800"/>
      <c r="B122" s="770" t="s">
        <v>351</v>
      </c>
      <c r="C122" s="748">
        <v>200000</v>
      </c>
      <c r="D122" s="748"/>
      <c r="E122" s="748"/>
      <c r="F122" s="748"/>
      <c r="G122" s="748"/>
      <c r="H122" s="748"/>
      <c r="I122" s="748"/>
      <c r="J122" s="748"/>
      <c r="K122" s="748"/>
      <c r="L122" s="748"/>
      <c r="M122" s="748">
        <f t="shared" si="17"/>
        <v>200000</v>
      </c>
      <c r="N122" s="750"/>
      <c r="O122" s="750"/>
      <c r="P122" s="750"/>
      <c r="Q122" s="750"/>
      <c r="R122" s="750"/>
      <c r="S122" s="750"/>
      <c r="T122" s="750"/>
      <c r="U122" s="750"/>
      <c r="V122" s="750">
        <f t="shared" si="18"/>
        <v>0</v>
      </c>
      <c r="W122" s="789">
        <f t="shared" si="19"/>
        <v>200000</v>
      </c>
      <c r="X122" s="796"/>
      <c r="Y122" s="796"/>
    </row>
    <row r="123" s="713" customFormat="1" ht="21" customHeight="1" spans="1:25">
      <c r="A123" s="800"/>
      <c r="B123" s="802" t="s">
        <v>260</v>
      </c>
      <c r="C123" s="748">
        <v>50000</v>
      </c>
      <c r="D123" s="748"/>
      <c r="E123" s="748"/>
      <c r="F123" s="748"/>
      <c r="G123" s="748"/>
      <c r="H123" s="748"/>
      <c r="I123" s="748"/>
      <c r="J123" s="748"/>
      <c r="K123" s="748"/>
      <c r="L123" s="748"/>
      <c r="M123" s="748">
        <f t="shared" si="17"/>
        <v>50000</v>
      </c>
      <c r="N123" s="750"/>
      <c r="O123" s="750"/>
      <c r="P123" s="750"/>
      <c r="Q123" s="750"/>
      <c r="R123" s="750"/>
      <c r="S123" s="750"/>
      <c r="T123" s="750"/>
      <c r="U123" s="750"/>
      <c r="V123" s="750">
        <f t="shared" si="18"/>
        <v>0</v>
      </c>
      <c r="W123" s="789">
        <f t="shared" si="19"/>
        <v>50000</v>
      </c>
      <c r="X123" s="796"/>
      <c r="Y123" s="796"/>
    </row>
    <row r="124" s="713" customFormat="1" ht="21" customHeight="1" spans="1:25">
      <c r="A124" s="800"/>
      <c r="B124" s="770" t="s">
        <v>352</v>
      </c>
      <c r="C124" s="748">
        <v>118728</v>
      </c>
      <c r="D124" s="748"/>
      <c r="E124" s="748"/>
      <c r="F124" s="748"/>
      <c r="G124" s="748"/>
      <c r="H124" s="748"/>
      <c r="I124" s="748"/>
      <c r="J124" s="748"/>
      <c r="K124" s="748"/>
      <c r="L124" s="748"/>
      <c r="M124" s="748">
        <f t="shared" si="17"/>
        <v>118728</v>
      </c>
      <c r="N124" s="750"/>
      <c r="O124" s="750"/>
      <c r="P124" s="750"/>
      <c r="Q124" s="750"/>
      <c r="R124" s="750"/>
      <c r="S124" s="750"/>
      <c r="T124" s="750"/>
      <c r="U124" s="750"/>
      <c r="V124" s="750">
        <f t="shared" si="18"/>
        <v>0</v>
      </c>
      <c r="W124" s="789">
        <f t="shared" si="19"/>
        <v>118728</v>
      </c>
      <c r="X124" s="796"/>
      <c r="Y124" s="796"/>
    </row>
    <row r="125" s="713" customFormat="1" ht="21" customHeight="1" spans="1:25">
      <c r="A125" s="800"/>
      <c r="B125" s="802" t="s">
        <v>353</v>
      </c>
      <c r="C125" s="748">
        <v>250000</v>
      </c>
      <c r="D125" s="748"/>
      <c r="E125" s="748"/>
      <c r="F125" s="748"/>
      <c r="G125" s="748"/>
      <c r="H125" s="748"/>
      <c r="I125" s="748"/>
      <c r="J125" s="748"/>
      <c r="K125" s="748"/>
      <c r="L125" s="748"/>
      <c r="M125" s="748">
        <f t="shared" si="17"/>
        <v>250000</v>
      </c>
      <c r="N125" s="750"/>
      <c r="O125" s="750"/>
      <c r="P125" s="750"/>
      <c r="Q125" s="750"/>
      <c r="R125" s="750"/>
      <c r="S125" s="750"/>
      <c r="T125" s="750"/>
      <c r="U125" s="750"/>
      <c r="V125" s="750">
        <f t="shared" si="18"/>
        <v>0</v>
      </c>
      <c r="W125" s="789">
        <f t="shared" si="19"/>
        <v>250000</v>
      </c>
      <c r="X125" s="796"/>
      <c r="Y125" s="796"/>
    </row>
    <row r="126" s="713" customFormat="1" ht="21" customHeight="1" spans="1:25">
      <c r="A126" s="800"/>
      <c r="B126" s="802" t="s">
        <v>354</v>
      </c>
      <c r="C126" s="748">
        <v>381272</v>
      </c>
      <c r="D126" s="748"/>
      <c r="E126" s="748"/>
      <c r="F126" s="748"/>
      <c r="G126" s="748"/>
      <c r="H126" s="748"/>
      <c r="I126" s="748"/>
      <c r="J126" s="748"/>
      <c r="K126" s="748"/>
      <c r="L126" s="748"/>
      <c r="M126" s="748">
        <f t="shared" ref="M126:M135" si="20">SUM(C126:L126)</f>
        <v>381272</v>
      </c>
      <c r="N126" s="750"/>
      <c r="O126" s="750"/>
      <c r="P126" s="750"/>
      <c r="Q126" s="750"/>
      <c r="R126" s="750"/>
      <c r="S126" s="750"/>
      <c r="T126" s="750"/>
      <c r="U126" s="750"/>
      <c r="V126" s="750">
        <f t="shared" ref="V126:V135" si="21">SUM(N126:U126)</f>
        <v>0</v>
      </c>
      <c r="W126" s="789">
        <f t="shared" ref="W126:W135" si="22">SUM(M126-V126)</f>
        <v>381272</v>
      </c>
      <c r="X126" s="796"/>
      <c r="Y126" s="796"/>
    </row>
    <row r="127" s="713" customFormat="1" ht="21" customHeight="1" spans="1:25">
      <c r="A127" s="800"/>
      <c r="B127" s="802" t="s">
        <v>355</v>
      </c>
      <c r="C127" s="748">
        <v>400000</v>
      </c>
      <c r="D127" s="748"/>
      <c r="E127" s="748"/>
      <c r="F127" s="748"/>
      <c r="G127" s="748"/>
      <c r="H127" s="748"/>
      <c r="I127" s="748"/>
      <c r="J127" s="748"/>
      <c r="K127" s="748"/>
      <c r="L127" s="748"/>
      <c r="M127" s="748">
        <f t="shared" si="20"/>
        <v>400000</v>
      </c>
      <c r="N127" s="750"/>
      <c r="O127" s="750"/>
      <c r="P127" s="750"/>
      <c r="Q127" s="750"/>
      <c r="R127" s="750"/>
      <c r="S127" s="750"/>
      <c r="T127" s="750"/>
      <c r="U127" s="750"/>
      <c r="V127" s="750">
        <f t="shared" si="21"/>
        <v>0</v>
      </c>
      <c r="W127" s="789">
        <f t="shared" si="22"/>
        <v>400000</v>
      </c>
      <c r="X127" s="796"/>
      <c r="Y127" s="796"/>
    </row>
    <row r="128" s="713" customFormat="1" ht="21" customHeight="1" spans="1:25">
      <c r="A128" s="800"/>
      <c r="B128" s="802" t="s">
        <v>356</v>
      </c>
      <c r="C128" s="748">
        <v>100000</v>
      </c>
      <c r="D128" s="748"/>
      <c r="E128" s="748"/>
      <c r="F128" s="748"/>
      <c r="G128" s="748"/>
      <c r="H128" s="748"/>
      <c r="I128" s="748"/>
      <c r="J128" s="748"/>
      <c r="K128" s="748"/>
      <c r="L128" s="748"/>
      <c r="M128" s="748">
        <f t="shared" si="20"/>
        <v>100000</v>
      </c>
      <c r="N128" s="750"/>
      <c r="O128" s="750"/>
      <c r="P128" s="750"/>
      <c r="Q128" s="750"/>
      <c r="R128" s="750"/>
      <c r="S128" s="750"/>
      <c r="T128" s="750"/>
      <c r="U128" s="750"/>
      <c r="V128" s="750">
        <f t="shared" si="21"/>
        <v>0</v>
      </c>
      <c r="W128" s="789">
        <f t="shared" si="22"/>
        <v>100000</v>
      </c>
      <c r="X128" s="796"/>
      <c r="Y128" s="796"/>
    </row>
    <row r="129" s="713" customFormat="1" ht="21" customHeight="1" spans="1:25">
      <c r="A129" s="800"/>
      <c r="B129" s="802" t="s">
        <v>357</v>
      </c>
      <c r="C129" s="748"/>
      <c r="D129" s="748">
        <v>500000</v>
      </c>
      <c r="E129" s="748"/>
      <c r="F129" s="748"/>
      <c r="G129" s="748"/>
      <c r="H129" s="748"/>
      <c r="I129" s="748"/>
      <c r="J129" s="748"/>
      <c r="K129" s="748"/>
      <c r="L129" s="748"/>
      <c r="M129" s="748">
        <f t="shared" si="20"/>
        <v>500000</v>
      </c>
      <c r="N129" s="750"/>
      <c r="O129" s="750"/>
      <c r="P129" s="750"/>
      <c r="Q129" s="750"/>
      <c r="R129" s="750"/>
      <c r="S129" s="750"/>
      <c r="T129" s="750"/>
      <c r="U129" s="750"/>
      <c r="V129" s="750">
        <f t="shared" si="21"/>
        <v>0</v>
      </c>
      <c r="W129" s="789">
        <f t="shared" si="22"/>
        <v>500000</v>
      </c>
      <c r="X129" s="796"/>
      <c r="Y129" s="796"/>
    </row>
    <row r="130" s="713" customFormat="1" ht="21" customHeight="1" spans="1:25">
      <c r="A130" s="800"/>
      <c r="B130" s="802" t="s">
        <v>358</v>
      </c>
      <c r="C130" s="748">
        <v>500000</v>
      </c>
      <c r="D130" s="748"/>
      <c r="E130" s="748"/>
      <c r="F130" s="748"/>
      <c r="G130" s="748"/>
      <c r="H130" s="748"/>
      <c r="I130" s="748"/>
      <c r="J130" s="748"/>
      <c r="K130" s="748"/>
      <c r="L130" s="748"/>
      <c r="M130" s="748">
        <f t="shared" si="20"/>
        <v>500000</v>
      </c>
      <c r="N130" s="750"/>
      <c r="O130" s="750"/>
      <c r="P130" s="750"/>
      <c r="Q130" s="750"/>
      <c r="R130" s="750"/>
      <c r="S130" s="750"/>
      <c r="T130" s="750"/>
      <c r="U130" s="750"/>
      <c r="V130" s="750">
        <f t="shared" si="21"/>
        <v>0</v>
      </c>
      <c r="W130" s="789">
        <f t="shared" si="22"/>
        <v>500000</v>
      </c>
      <c r="X130" s="796"/>
      <c r="Y130" s="796"/>
    </row>
    <row r="131" s="713" customFormat="1" ht="21" customHeight="1" spans="1:25">
      <c r="A131" s="800"/>
      <c r="B131" s="802" t="s">
        <v>359</v>
      </c>
      <c r="C131" s="748">
        <v>150000</v>
      </c>
      <c r="D131" s="748"/>
      <c r="E131" s="748"/>
      <c r="F131" s="748"/>
      <c r="G131" s="748"/>
      <c r="H131" s="748"/>
      <c r="I131" s="748"/>
      <c r="J131" s="748"/>
      <c r="K131" s="748"/>
      <c r="L131" s="748"/>
      <c r="M131" s="748">
        <f t="shared" si="20"/>
        <v>150000</v>
      </c>
      <c r="N131" s="750"/>
      <c r="O131" s="750"/>
      <c r="P131" s="750"/>
      <c r="Q131" s="750"/>
      <c r="R131" s="750"/>
      <c r="S131" s="750"/>
      <c r="T131" s="750"/>
      <c r="U131" s="750"/>
      <c r="V131" s="750">
        <f t="shared" si="21"/>
        <v>0</v>
      </c>
      <c r="W131" s="789">
        <f t="shared" si="22"/>
        <v>150000</v>
      </c>
      <c r="X131" s="796"/>
      <c r="Y131" s="796"/>
    </row>
    <row r="132" s="713" customFormat="1" ht="21" customHeight="1" spans="1:25">
      <c r="A132" s="800"/>
      <c r="B132" s="802" t="s">
        <v>360</v>
      </c>
      <c r="C132" s="748">
        <v>150000</v>
      </c>
      <c r="D132" s="748"/>
      <c r="E132" s="748"/>
      <c r="F132" s="748"/>
      <c r="G132" s="748"/>
      <c r="H132" s="748"/>
      <c r="I132" s="748"/>
      <c r="J132" s="748"/>
      <c r="K132" s="748"/>
      <c r="L132" s="748"/>
      <c r="M132" s="748">
        <f t="shared" si="20"/>
        <v>150000</v>
      </c>
      <c r="N132" s="750"/>
      <c r="O132" s="750"/>
      <c r="P132" s="750"/>
      <c r="Q132" s="750"/>
      <c r="R132" s="750"/>
      <c r="S132" s="750"/>
      <c r="T132" s="750"/>
      <c r="U132" s="750"/>
      <c r="V132" s="750">
        <f t="shared" si="21"/>
        <v>0</v>
      </c>
      <c r="W132" s="789">
        <f t="shared" si="22"/>
        <v>150000</v>
      </c>
      <c r="X132" s="796"/>
      <c r="Y132" s="796"/>
    </row>
    <row r="133" s="713" customFormat="1" ht="21" customHeight="1" spans="1:25">
      <c r="A133" s="800"/>
      <c r="B133" s="802" t="s">
        <v>361</v>
      </c>
      <c r="C133" s="748">
        <v>25000</v>
      </c>
      <c r="D133" s="748"/>
      <c r="E133" s="748"/>
      <c r="F133" s="748"/>
      <c r="G133" s="748"/>
      <c r="H133" s="748"/>
      <c r="I133" s="748"/>
      <c r="J133" s="748"/>
      <c r="K133" s="748"/>
      <c r="L133" s="748"/>
      <c r="M133" s="748">
        <f t="shared" si="20"/>
        <v>25000</v>
      </c>
      <c r="N133" s="750"/>
      <c r="O133" s="750"/>
      <c r="P133" s="750"/>
      <c r="Q133" s="750"/>
      <c r="R133" s="750"/>
      <c r="S133" s="750"/>
      <c r="T133" s="750"/>
      <c r="U133" s="750"/>
      <c r="V133" s="750">
        <f t="shared" si="21"/>
        <v>0</v>
      </c>
      <c r="W133" s="789">
        <f t="shared" si="22"/>
        <v>25000</v>
      </c>
      <c r="X133" s="796"/>
      <c r="Y133" s="796"/>
    </row>
    <row r="134" s="713" customFormat="1" ht="21" customHeight="1" spans="1:25">
      <c r="A134" s="800"/>
      <c r="B134" s="802" t="s">
        <v>362</v>
      </c>
      <c r="C134" s="748">
        <v>250000</v>
      </c>
      <c r="D134" s="748"/>
      <c r="E134" s="748"/>
      <c r="F134" s="748"/>
      <c r="G134" s="748"/>
      <c r="H134" s="748"/>
      <c r="I134" s="748"/>
      <c r="J134" s="748"/>
      <c r="K134" s="748"/>
      <c r="L134" s="748"/>
      <c r="M134" s="748">
        <f t="shared" si="20"/>
        <v>250000</v>
      </c>
      <c r="N134" s="750"/>
      <c r="O134" s="750"/>
      <c r="P134" s="750"/>
      <c r="Q134" s="750"/>
      <c r="R134" s="750"/>
      <c r="S134" s="750"/>
      <c r="T134" s="750"/>
      <c r="U134" s="750"/>
      <c r="V134" s="750">
        <f t="shared" si="21"/>
        <v>0</v>
      </c>
      <c r="W134" s="789">
        <f t="shared" si="22"/>
        <v>250000</v>
      </c>
      <c r="X134" s="796"/>
      <c r="Y134" s="796"/>
    </row>
    <row r="135" s="713" customFormat="1" ht="21" customHeight="1" spans="1:25">
      <c r="A135" s="800"/>
      <c r="B135" s="770" t="s">
        <v>363</v>
      </c>
      <c r="C135" s="748">
        <v>50000</v>
      </c>
      <c r="D135" s="748"/>
      <c r="E135" s="748"/>
      <c r="F135" s="748"/>
      <c r="G135" s="748"/>
      <c r="H135" s="748"/>
      <c r="I135" s="748"/>
      <c r="J135" s="748"/>
      <c r="K135" s="748"/>
      <c r="L135" s="748"/>
      <c r="M135" s="748">
        <f t="shared" si="20"/>
        <v>50000</v>
      </c>
      <c r="N135" s="750"/>
      <c r="O135" s="750"/>
      <c r="P135" s="750"/>
      <c r="Q135" s="750"/>
      <c r="R135" s="750"/>
      <c r="S135" s="750"/>
      <c r="T135" s="750"/>
      <c r="U135" s="750"/>
      <c r="V135" s="750">
        <f t="shared" si="21"/>
        <v>0</v>
      </c>
      <c r="W135" s="789">
        <f t="shared" si="22"/>
        <v>50000</v>
      </c>
      <c r="X135" s="796"/>
      <c r="Y135" s="796"/>
    </row>
    <row r="136" s="713" customFormat="1" ht="21" customHeight="1" spans="1:25">
      <c r="A136" s="800"/>
      <c r="B136" s="770" t="s">
        <v>364</v>
      </c>
      <c r="C136" s="748">
        <v>54000</v>
      </c>
      <c r="D136" s="748"/>
      <c r="E136" s="748"/>
      <c r="F136" s="748"/>
      <c r="G136" s="748"/>
      <c r="H136" s="748"/>
      <c r="I136" s="748"/>
      <c r="J136" s="748"/>
      <c r="K136" s="748"/>
      <c r="L136" s="748"/>
      <c r="M136" s="748">
        <f>SUM(C136:L136)</f>
        <v>54000</v>
      </c>
      <c r="N136" s="750"/>
      <c r="O136" s="750"/>
      <c r="P136" s="750"/>
      <c r="Q136" s="750"/>
      <c r="R136" s="750"/>
      <c r="S136" s="750"/>
      <c r="T136" s="750"/>
      <c r="U136" s="750"/>
      <c r="V136" s="750">
        <f>SUM(N136:U136)</f>
        <v>0</v>
      </c>
      <c r="W136" s="789">
        <f>SUM(M136-V136)</f>
        <v>54000</v>
      </c>
      <c r="X136" s="796"/>
      <c r="Y136" s="796"/>
    </row>
    <row r="137" s="713" customFormat="1" ht="21" customHeight="1" spans="1:25">
      <c r="A137" s="800"/>
      <c r="B137" s="770" t="s">
        <v>365</v>
      </c>
      <c r="C137" s="748">
        <v>100000</v>
      </c>
      <c r="D137" s="748"/>
      <c r="E137" s="748"/>
      <c r="F137" s="748"/>
      <c r="G137" s="748"/>
      <c r="H137" s="748"/>
      <c r="I137" s="748"/>
      <c r="J137" s="748"/>
      <c r="K137" s="748"/>
      <c r="L137" s="748"/>
      <c r="M137" s="748">
        <f>SUM(C137:L137)</f>
        <v>100000</v>
      </c>
      <c r="N137" s="750"/>
      <c r="O137" s="750"/>
      <c r="P137" s="750"/>
      <c r="Q137" s="750"/>
      <c r="R137" s="750"/>
      <c r="S137" s="750"/>
      <c r="T137" s="750"/>
      <c r="U137" s="750"/>
      <c r="V137" s="750">
        <f>SUM(N137:U137)</f>
        <v>0</v>
      </c>
      <c r="W137" s="789">
        <f>SUM(M137-V137)</f>
        <v>100000</v>
      </c>
      <c r="X137" s="796"/>
      <c r="Y137" s="796"/>
    </row>
    <row r="138" s="713" customFormat="1" ht="21" customHeight="1" spans="1:25">
      <c r="A138" s="800"/>
      <c r="B138" s="770" t="s">
        <v>366</v>
      </c>
      <c r="C138" s="748">
        <v>100000</v>
      </c>
      <c r="D138" s="748"/>
      <c r="E138" s="748"/>
      <c r="F138" s="748"/>
      <c r="G138" s="748"/>
      <c r="H138" s="748"/>
      <c r="I138" s="748"/>
      <c r="J138" s="748"/>
      <c r="K138" s="748"/>
      <c r="L138" s="748"/>
      <c r="M138" s="748">
        <f>SUM(C138:L138)</f>
        <v>100000</v>
      </c>
      <c r="N138" s="750"/>
      <c r="O138" s="750"/>
      <c r="P138" s="750"/>
      <c r="Q138" s="750"/>
      <c r="R138" s="750"/>
      <c r="S138" s="750"/>
      <c r="T138" s="750"/>
      <c r="U138" s="750"/>
      <c r="V138" s="750">
        <f>SUM(N138:U138)</f>
        <v>0</v>
      </c>
      <c r="W138" s="789">
        <f>SUM(M138-V138)</f>
        <v>100000</v>
      </c>
      <c r="X138" s="796"/>
      <c r="Y138" s="796"/>
    </row>
    <row r="139" s="713" customFormat="1" ht="21" customHeight="1" spans="1:25">
      <c r="A139" s="800"/>
      <c r="B139" s="27" t="s">
        <v>367</v>
      </c>
      <c r="C139" s="748">
        <v>500000</v>
      </c>
      <c r="D139" s="748"/>
      <c r="E139" s="748"/>
      <c r="F139" s="748"/>
      <c r="G139" s="748"/>
      <c r="H139" s="748"/>
      <c r="I139" s="748"/>
      <c r="J139" s="748"/>
      <c r="K139" s="748"/>
      <c r="L139" s="748"/>
      <c r="M139" s="748">
        <f>SUM(C139:L139)</f>
        <v>500000</v>
      </c>
      <c r="N139" s="750"/>
      <c r="O139" s="750"/>
      <c r="P139" s="750"/>
      <c r="Q139" s="750"/>
      <c r="R139" s="750"/>
      <c r="S139" s="750"/>
      <c r="T139" s="750"/>
      <c r="U139" s="750"/>
      <c r="V139" s="750">
        <f>SUM(N139:U139)</f>
        <v>0</v>
      </c>
      <c r="W139" s="789">
        <f>SUM(M139-V139)</f>
        <v>500000</v>
      </c>
      <c r="X139" s="796"/>
      <c r="Y139" s="796"/>
    </row>
    <row r="140" s="713" customFormat="1" ht="21" customHeight="1" spans="1:25">
      <c r="A140" s="800"/>
      <c r="B140" s="770" t="s">
        <v>368</v>
      </c>
      <c r="C140" s="748"/>
      <c r="D140" s="748">
        <v>875000</v>
      </c>
      <c r="E140" s="748"/>
      <c r="F140" s="748"/>
      <c r="G140" s="748"/>
      <c r="H140" s="748"/>
      <c r="I140" s="748"/>
      <c r="J140" s="748"/>
      <c r="K140" s="748"/>
      <c r="L140" s="748"/>
      <c r="M140" s="748">
        <f>SUM(C140:L140)</f>
        <v>875000</v>
      </c>
      <c r="N140" s="750"/>
      <c r="O140" s="750"/>
      <c r="P140" s="750"/>
      <c r="Q140" s="750"/>
      <c r="R140" s="750"/>
      <c r="S140" s="750"/>
      <c r="T140" s="750"/>
      <c r="U140" s="750"/>
      <c r="V140" s="750">
        <f>SUM(N140:U140)</f>
        <v>0</v>
      </c>
      <c r="W140" s="789">
        <f>SUM(M140-V140)</f>
        <v>875000</v>
      </c>
      <c r="X140" s="796"/>
      <c r="Y140" s="796"/>
    </row>
    <row r="141" s="713" customFormat="1" ht="21" customHeight="1" spans="1:25">
      <c r="A141" s="800"/>
      <c r="B141" s="770" t="s">
        <v>369</v>
      </c>
      <c r="C141" s="748"/>
      <c r="D141" s="748">
        <v>575000</v>
      </c>
      <c r="E141" s="748"/>
      <c r="F141" s="748"/>
      <c r="G141" s="748"/>
      <c r="H141" s="748"/>
      <c r="I141" s="748"/>
      <c r="J141" s="748"/>
      <c r="K141" s="748"/>
      <c r="L141" s="748"/>
      <c r="M141" s="748">
        <f>SUM(C141:L141)</f>
        <v>575000</v>
      </c>
      <c r="N141" s="750"/>
      <c r="O141" s="750"/>
      <c r="P141" s="750"/>
      <c r="Q141" s="750"/>
      <c r="R141" s="750"/>
      <c r="S141" s="750"/>
      <c r="T141" s="750"/>
      <c r="U141" s="750"/>
      <c r="V141" s="750">
        <f>SUM(N141:U141)</f>
        <v>0</v>
      </c>
      <c r="W141" s="789">
        <f>SUM(M141-V141)</f>
        <v>575000</v>
      </c>
      <c r="X141" s="796"/>
      <c r="Y141" s="796"/>
    </row>
    <row r="142" s="713" customFormat="1" ht="21" customHeight="1" spans="1:25">
      <c r="A142" s="800"/>
      <c r="B142" s="770" t="s">
        <v>370</v>
      </c>
      <c r="C142" s="748"/>
      <c r="D142" s="748">
        <v>1600000</v>
      </c>
      <c r="E142" s="748"/>
      <c r="F142" s="748"/>
      <c r="G142" s="748"/>
      <c r="H142" s="748"/>
      <c r="I142" s="748"/>
      <c r="J142" s="748"/>
      <c r="K142" s="748"/>
      <c r="L142" s="748"/>
      <c r="M142" s="748">
        <f>SUM(C142:L142)</f>
        <v>1600000</v>
      </c>
      <c r="N142" s="750"/>
      <c r="O142" s="750"/>
      <c r="P142" s="750"/>
      <c r="Q142" s="750"/>
      <c r="R142" s="750"/>
      <c r="S142" s="750"/>
      <c r="T142" s="750"/>
      <c r="U142" s="750"/>
      <c r="V142" s="750">
        <f>SUM(N142:U142)</f>
        <v>0</v>
      </c>
      <c r="W142" s="789">
        <f>SUM(M142-V142)</f>
        <v>1600000</v>
      </c>
      <c r="X142" s="796"/>
      <c r="Y142" s="796"/>
    </row>
    <row r="143" s="713" customFormat="1" ht="21" customHeight="1" spans="1:25">
      <c r="A143" s="800"/>
      <c r="B143" s="770" t="s">
        <v>371</v>
      </c>
      <c r="C143" s="748"/>
      <c r="D143" s="748">
        <v>600000</v>
      </c>
      <c r="E143" s="748"/>
      <c r="F143" s="748"/>
      <c r="G143" s="748"/>
      <c r="H143" s="748"/>
      <c r="I143" s="748"/>
      <c r="J143" s="748"/>
      <c r="K143" s="748"/>
      <c r="L143" s="748"/>
      <c r="M143" s="748">
        <f>SUM(C143:L143)</f>
        <v>600000</v>
      </c>
      <c r="N143" s="750"/>
      <c r="O143" s="750"/>
      <c r="P143" s="750"/>
      <c r="Q143" s="750"/>
      <c r="R143" s="750"/>
      <c r="S143" s="750"/>
      <c r="T143" s="750"/>
      <c r="U143" s="750"/>
      <c r="V143" s="750">
        <f>SUM(N143:U143)</f>
        <v>0</v>
      </c>
      <c r="W143" s="789">
        <f>SUM(M143-V143)</f>
        <v>600000</v>
      </c>
      <c r="X143" s="796"/>
      <c r="Y143" s="796"/>
    </row>
    <row r="144" s="713" customFormat="1" ht="21" customHeight="1" spans="1:25">
      <c r="A144" s="800"/>
      <c r="B144" s="770" t="s">
        <v>372</v>
      </c>
      <c r="C144" s="748"/>
      <c r="D144" s="748">
        <v>500000</v>
      </c>
      <c r="E144" s="748"/>
      <c r="F144" s="748"/>
      <c r="G144" s="748"/>
      <c r="H144" s="748"/>
      <c r="I144" s="748"/>
      <c r="J144" s="748"/>
      <c r="K144" s="748"/>
      <c r="L144" s="748"/>
      <c r="M144" s="748">
        <f t="shared" ref="M144:M152" si="23">SUM(C144:L144)</f>
        <v>500000</v>
      </c>
      <c r="N144" s="750"/>
      <c r="O144" s="750"/>
      <c r="P144" s="750"/>
      <c r="Q144" s="750"/>
      <c r="R144" s="750"/>
      <c r="S144" s="750"/>
      <c r="T144" s="750"/>
      <c r="U144" s="750"/>
      <c r="V144" s="750">
        <f t="shared" ref="V144:V152" si="24">SUM(N144:U144)</f>
        <v>0</v>
      </c>
      <c r="W144" s="789">
        <f t="shared" ref="W144:W152" si="25">SUM(M144-V144)</f>
        <v>500000</v>
      </c>
      <c r="X144" s="796"/>
      <c r="Y144" s="796"/>
    </row>
    <row r="145" s="713" customFormat="1" ht="21" customHeight="1" spans="1:25">
      <c r="A145" s="800"/>
      <c r="B145" s="770" t="s">
        <v>373</v>
      </c>
      <c r="C145" s="748">
        <v>500000</v>
      </c>
      <c r="D145" s="748"/>
      <c r="E145" s="748"/>
      <c r="F145" s="748"/>
      <c r="G145" s="748"/>
      <c r="H145" s="748"/>
      <c r="I145" s="748"/>
      <c r="J145" s="748"/>
      <c r="K145" s="748"/>
      <c r="L145" s="748"/>
      <c r="M145" s="748">
        <f t="shared" si="23"/>
        <v>500000</v>
      </c>
      <c r="N145" s="750"/>
      <c r="O145" s="750"/>
      <c r="P145" s="750"/>
      <c r="Q145" s="750"/>
      <c r="R145" s="750"/>
      <c r="S145" s="750"/>
      <c r="T145" s="750"/>
      <c r="U145" s="750"/>
      <c r="V145" s="750">
        <f t="shared" si="24"/>
        <v>0</v>
      </c>
      <c r="W145" s="789">
        <f t="shared" si="25"/>
        <v>500000</v>
      </c>
      <c r="X145" s="796"/>
      <c r="Y145" s="796"/>
    </row>
    <row r="146" s="713" customFormat="1" ht="21" customHeight="1" spans="1:25">
      <c r="A146" s="800"/>
      <c r="B146" s="770" t="s">
        <v>373</v>
      </c>
      <c r="C146" s="748"/>
      <c r="D146" s="748">
        <v>500000</v>
      </c>
      <c r="E146" s="748"/>
      <c r="F146" s="748"/>
      <c r="G146" s="748"/>
      <c r="H146" s="748"/>
      <c r="I146" s="748"/>
      <c r="J146" s="748"/>
      <c r="K146" s="748"/>
      <c r="L146" s="748"/>
      <c r="M146" s="748">
        <f t="shared" si="23"/>
        <v>500000</v>
      </c>
      <c r="N146" s="750"/>
      <c r="O146" s="750"/>
      <c r="P146" s="750"/>
      <c r="Q146" s="750"/>
      <c r="R146" s="750"/>
      <c r="S146" s="750"/>
      <c r="T146" s="750"/>
      <c r="U146" s="750"/>
      <c r="V146" s="750">
        <f t="shared" si="24"/>
        <v>0</v>
      </c>
      <c r="W146" s="789">
        <f t="shared" si="25"/>
        <v>500000</v>
      </c>
      <c r="X146" s="796"/>
      <c r="Y146" s="796"/>
    </row>
    <row r="147" s="713" customFormat="1" ht="21" customHeight="1" spans="1:25">
      <c r="A147" s="800"/>
      <c r="B147" s="770" t="s">
        <v>374</v>
      </c>
      <c r="C147" s="748">
        <v>250000</v>
      </c>
      <c r="D147" s="748"/>
      <c r="E147" s="748"/>
      <c r="F147" s="748"/>
      <c r="G147" s="748"/>
      <c r="H147" s="748"/>
      <c r="I147" s="748"/>
      <c r="J147" s="748"/>
      <c r="K147" s="748"/>
      <c r="L147" s="748"/>
      <c r="M147" s="748">
        <f t="shared" si="23"/>
        <v>250000</v>
      </c>
      <c r="N147" s="750"/>
      <c r="O147" s="750"/>
      <c r="P147" s="750"/>
      <c r="Q147" s="750"/>
      <c r="R147" s="750"/>
      <c r="S147" s="750"/>
      <c r="T147" s="750"/>
      <c r="U147" s="750"/>
      <c r="V147" s="750">
        <f t="shared" si="24"/>
        <v>0</v>
      </c>
      <c r="W147" s="789">
        <f t="shared" si="25"/>
        <v>250000</v>
      </c>
      <c r="X147" s="796"/>
      <c r="Y147" s="796"/>
    </row>
    <row r="148" s="713" customFormat="1" ht="21" customHeight="1" spans="1:25">
      <c r="A148" s="800"/>
      <c r="B148" s="765" t="s">
        <v>375</v>
      </c>
      <c r="C148" s="754"/>
      <c r="D148" s="754"/>
      <c r="E148" s="754"/>
      <c r="F148" s="754"/>
      <c r="G148" s="754"/>
      <c r="H148" s="754"/>
      <c r="I148" s="754"/>
      <c r="J148" s="754"/>
      <c r="K148" s="754"/>
      <c r="L148" s="754"/>
      <c r="M148" s="754">
        <f t="shared" si="23"/>
        <v>0</v>
      </c>
      <c r="N148" s="757"/>
      <c r="O148" s="757"/>
      <c r="P148" s="757"/>
      <c r="Q148" s="757"/>
      <c r="R148" s="757"/>
      <c r="S148" s="757">
        <v>500000</v>
      </c>
      <c r="T148" s="757"/>
      <c r="U148" s="757"/>
      <c r="V148" s="757">
        <f t="shared" si="24"/>
        <v>500000</v>
      </c>
      <c r="W148" s="787">
        <f t="shared" si="25"/>
        <v>-500000</v>
      </c>
      <c r="X148" s="796"/>
      <c r="Y148" s="796"/>
    </row>
    <row r="149" s="713" customFormat="1" ht="21" customHeight="1" spans="1:25">
      <c r="A149" s="800"/>
      <c r="B149" s="770" t="s">
        <v>376</v>
      </c>
      <c r="C149" s="748"/>
      <c r="D149" s="748"/>
      <c r="E149" s="748"/>
      <c r="F149" s="748"/>
      <c r="G149" s="748"/>
      <c r="H149" s="748"/>
      <c r="I149" s="748"/>
      <c r="J149" s="748"/>
      <c r="K149" s="748"/>
      <c r="L149" s="748"/>
      <c r="M149" s="748">
        <f t="shared" si="23"/>
        <v>0</v>
      </c>
      <c r="N149" s="750"/>
      <c r="O149" s="750"/>
      <c r="P149" s="750"/>
      <c r="Q149" s="750"/>
      <c r="R149" s="750"/>
      <c r="S149" s="750"/>
      <c r="T149" s="750"/>
      <c r="U149" s="750">
        <v>10550000</v>
      </c>
      <c r="V149" s="750">
        <f t="shared" si="24"/>
        <v>10550000</v>
      </c>
      <c r="W149" s="789">
        <f t="shared" si="25"/>
        <v>-10550000</v>
      </c>
      <c r="X149" s="796"/>
      <c r="Y149" s="796"/>
    </row>
    <row r="150" s="713" customFormat="1" ht="21" customHeight="1" spans="1:25">
      <c r="A150" s="800"/>
      <c r="B150" s="770" t="s">
        <v>377</v>
      </c>
      <c r="C150" s="748"/>
      <c r="D150" s="748"/>
      <c r="E150" s="748"/>
      <c r="F150" s="748">
        <v>800000</v>
      </c>
      <c r="G150" s="748"/>
      <c r="H150" s="748"/>
      <c r="I150" s="748"/>
      <c r="J150" s="748"/>
      <c r="K150" s="748"/>
      <c r="L150" s="748"/>
      <c r="M150" s="748">
        <f t="shared" si="23"/>
        <v>800000</v>
      </c>
      <c r="N150" s="750"/>
      <c r="O150" s="750"/>
      <c r="P150" s="750"/>
      <c r="Q150" s="750"/>
      <c r="R150" s="750"/>
      <c r="S150" s="750"/>
      <c r="T150" s="750"/>
      <c r="U150" s="750"/>
      <c r="V150" s="750">
        <f t="shared" si="24"/>
        <v>0</v>
      </c>
      <c r="W150" s="789">
        <f t="shared" si="25"/>
        <v>800000</v>
      </c>
      <c r="X150" s="796"/>
      <c r="Y150" s="796"/>
    </row>
    <row r="151" s="713" customFormat="1" ht="21" customHeight="1" spans="1:25">
      <c r="A151" s="800"/>
      <c r="B151" s="770" t="s">
        <v>378</v>
      </c>
      <c r="C151" s="748">
        <v>400000</v>
      </c>
      <c r="D151" s="748"/>
      <c r="E151" s="748"/>
      <c r="F151" s="748"/>
      <c r="G151" s="748"/>
      <c r="H151" s="748"/>
      <c r="I151" s="748"/>
      <c r="J151" s="748"/>
      <c r="K151" s="748"/>
      <c r="L151" s="748"/>
      <c r="M151" s="748">
        <f t="shared" si="23"/>
        <v>400000</v>
      </c>
      <c r="N151" s="750"/>
      <c r="O151" s="750"/>
      <c r="P151" s="750"/>
      <c r="Q151" s="750"/>
      <c r="R151" s="750"/>
      <c r="S151" s="750"/>
      <c r="T151" s="750"/>
      <c r="U151" s="750"/>
      <c r="V151" s="750">
        <f t="shared" si="24"/>
        <v>0</v>
      </c>
      <c r="W151" s="789">
        <f t="shared" si="25"/>
        <v>400000</v>
      </c>
      <c r="X151" s="796"/>
      <c r="Y151" s="796"/>
    </row>
    <row r="152" s="713" customFormat="1" ht="21" customHeight="1" spans="1:25">
      <c r="A152" s="800"/>
      <c r="B152" s="770" t="s">
        <v>379</v>
      </c>
      <c r="C152" s="748">
        <v>100000</v>
      </c>
      <c r="D152" s="748"/>
      <c r="E152" s="748"/>
      <c r="F152" s="748"/>
      <c r="G152" s="748"/>
      <c r="H152" s="748"/>
      <c r="I152" s="748"/>
      <c r="J152" s="748"/>
      <c r="K152" s="748"/>
      <c r="L152" s="748"/>
      <c r="M152" s="748">
        <f t="shared" si="23"/>
        <v>100000</v>
      </c>
      <c r="N152" s="750"/>
      <c r="O152" s="750"/>
      <c r="P152" s="750"/>
      <c r="Q152" s="750"/>
      <c r="R152" s="750"/>
      <c r="S152" s="750"/>
      <c r="T152" s="750"/>
      <c r="U152" s="750"/>
      <c r="V152" s="750">
        <f t="shared" si="24"/>
        <v>0</v>
      </c>
      <c r="W152" s="789">
        <f t="shared" si="25"/>
        <v>100000</v>
      </c>
      <c r="X152" s="796"/>
      <c r="Y152" s="796"/>
    </row>
    <row r="153" s="713" customFormat="1" ht="21" customHeight="1" spans="1:25">
      <c r="A153" s="800"/>
      <c r="B153" s="770" t="s">
        <v>380</v>
      </c>
      <c r="C153" s="748">
        <v>200000</v>
      </c>
      <c r="D153" s="748"/>
      <c r="E153" s="748"/>
      <c r="F153" s="748"/>
      <c r="G153" s="748"/>
      <c r="H153" s="748"/>
      <c r="I153" s="748"/>
      <c r="J153" s="748"/>
      <c r="K153" s="748"/>
      <c r="L153" s="748"/>
      <c r="M153" s="748">
        <f t="shared" ref="M153:M177" si="26">SUM(C153:L153)</f>
        <v>200000</v>
      </c>
      <c r="N153" s="750"/>
      <c r="O153" s="750"/>
      <c r="P153" s="750"/>
      <c r="Q153" s="750"/>
      <c r="R153" s="750"/>
      <c r="S153" s="750"/>
      <c r="T153" s="750"/>
      <c r="U153" s="750"/>
      <c r="V153" s="750">
        <f t="shared" ref="V153:V177" si="27">SUM(N153:U153)</f>
        <v>0</v>
      </c>
      <c r="W153" s="789">
        <f t="shared" ref="W153:W177" si="28">SUM(M153-V153)</f>
        <v>200000</v>
      </c>
      <c r="X153" s="796"/>
      <c r="Y153" s="796"/>
    </row>
    <row r="154" s="713" customFormat="1" ht="21" customHeight="1" spans="1:25">
      <c r="A154" s="800"/>
      <c r="B154" s="770" t="s">
        <v>381</v>
      </c>
      <c r="C154" s="748">
        <v>200000</v>
      </c>
      <c r="D154" s="748"/>
      <c r="E154" s="748"/>
      <c r="F154" s="748"/>
      <c r="G154" s="748"/>
      <c r="H154" s="748"/>
      <c r="I154" s="748"/>
      <c r="J154" s="748"/>
      <c r="K154" s="748"/>
      <c r="L154" s="748"/>
      <c r="M154" s="748">
        <f t="shared" si="26"/>
        <v>200000</v>
      </c>
      <c r="N154" s="750"/>
      <c r="O154" s="750"/>
      <c r="P154" s="750"/>
      <c r="Q154" s="750"/>
      <c r="R154" s="750"/>
      <c r="S154" s="750"/>
      <c r="T154" s="750"/>
      <c r="U154" s="750"/>
      <c r="V154" s="750">
        <f t="shared" si="27"/>
        <v>0</v>
      </c>
      <c r="W154" s="789">
        <f t="shared" si="28"/>
        <v>200000</v>
      </c>
      <c r="X154" s="796"/>
      <c r="Y154" s="796"/>
    </row>
    <row r="155" s="713" customFormat="1" ht="21" customHeight="1" spans="1:25">
      <c r="A155" s="800"/>
      <c r="B155" s="770" t="s">
        <v>382</v>
      </c>
      <c r="C155" s="748">
        <v>100000</v>
      </c>
      <c r="D155" s="748"/>
      <c r="E155" s="748"/>
      <c r="F155" s="748"/>
      <c r="G155" s="748"/>
      <c r="H155" s="748"/>
      <c r="I155" s="748"/>
      <c r="J155" s="748"/>
      <c r="K155" s="748"/>
      <c r="L155" s="748"/>
      <c r="M155" s="748">
        <f t="shared" si="26"/>
        <v>100000</v>
      </c>
      <c r="N155" s="750"/>
      <c r="O155" s="750"/>
      <c r="P155" s="750"/>
      <c r="Q155" s="750"/>
      <c r="R155" s="750"/>
      <c r="S155" s="750"/>
      <c r="T155" s="750"/>
      <c r="U155" s="750"/>
      <c r="V155" s="750">
        <f t="shared" si="27"/>
        <v>0</v>
      </c>
      <c r="W155" s="789">
        <f t="shared" si="28"/>
        <v>100000</v>
      </c>
      <c r="X155" s="796"/>
      <c r="Y155" s="796"/>
    </row>
    <row r="156" s="713" customFormat="1" ht="21" customHeight="1" spans="1:25">
      <c r="A156" s="800"/>
      <c r="B156" s="770" t="s">
        <v>383</v>
      </c>
      <c r="C156" s="748">
        <v>50000</v>
      </c>
      <c r="D156" s="748"/>
      <c r="E156" s="748"/>
      <c r="F156" s="748"/>
      <c r="G156" s="748"/>
      <c r="H156" s="748"/>
      <c r="I156" s="748"/>
      <c r="J156" s="748"/>
      <c r="K156" s="748"/>
      <c r="L156" s="748"/>
      <c r="M156" s="748">
        <f t="shared" si="26"/>
        <v>50000</v>
      </c>
      <c r="N156" s="750"/>
      <c r="O156" s="750"/>
      <c r="P156" s="750"/>
      <c r="Q156" s="750"/>
      <c r="R156" s="750"/>
      <c r="S156" s="750"/>
      <c r="T156" s="750"/>
      <c r="U156" s="750"/>
      <c r="V156" s="750">
        <f t="shared" si="27"/>
        <v>0</v>
      </c>
      <c r="W156" s="789">
        <f t="shared" si="28"/>
        <v>50000</v>
      </c>
      <c r="X156" s="796"/>
      <c r="Y156" s="796"/>
    </row>
    <row r="157" s="713" customFormat="1" ht="21" customHeight="1" spans="1:25">
      <c r="A157" s="800"/>
      <c r="B157" s="770" t="s">
        <v>384</v>
      </c>
      <c r="C157" s="748">
        <v>1000000</v>
      </c>
      <c r="D157" s="748"/>
      <c r="E157" s="748"/>
      <c r="F157" s="748"/>
      <c r="G157" s="748"/>
      <c r="H157" s="748"/>
      <c r="I157" s="748"/>
      <c r="J157" s="748"/>
      <c r="K157" s="748"/>
      <c r="L157" s="748"/>
      <c r="M157" s="748">
        <f t="shared" si="26"/>
        <v>1000000</v>
      </c>
      <c r="N157" s="750"/>
      <c r="O157" s="750"/>
      <c r="P157" s="750"/>
      <c r="Q157" s="750"/>
      <c r="R157" s="750"/>
      <c r="S157" s="750"/>
      <c r="T157" s="750"/>
      <c r="U157" s="750"/>
      <c r="V157" s="750">
        <f t="shared" si="27"/>
        <v>0</v>
      </c>
      <c r="W157" s="789">
        <f t="shared" si="28"/>
        <v>1000000</v>
      </c>
      <c r="X157" s="796"/>
      <c r="Y157" s="796"/>
    </row>
    <row r="158" s="713" customFormat="1" ht="21" customHeight="1" spans="1:25">
      <c r="A158" s="800"/>
      <c r="B158" s="770" t="s">
        <v>385</v>
      </c>
      <c r="C158" s="748">
        <v>200000</v>
      </c>
      <c r="D158" s="748"/>
      <c r="E158" s="748"/>
      <c r="F158" s="748"/>
      <c r="G158" s="748"/>
      <c r="H158" s="748"/>
      <c r="I158" s="748"/>
      <c r="J158" s="748"/>
      <c r="K158" s="748"/>
      <c r="L158" s="748"/>
      <c r="M158" s="748">
        <f t="shared" si="26"/>
        <v>200000</v>
      </c>
      <c r="N158" s="750"/>
      <c r="O158" s="750"/>
      <c r="P158" s="750"/>
      <c r="Q158" s="750"/>
      <c r="R158" s="750"/>
      <c r="S158" s="750"/>
      <c r="T158" s="750"/>
      <c r="U158" s="750"/>
      <c r="V158" s="750">
        <f t="shared" si="27"/>
        <v>0</v>
      </c>
      <c r="W158" s="789">
        <f t="shared" si="28"/>
        <v>200000</v>
      </c>
      <c r="X158" s="796"/>
      <c r="Y158" s="796"/>
    </row>
    <row r="159" s="713" customFormat="1" ht="21" customHeight="1" spans="1:25">
      <c r="A159" s="800"/>
      <c r="B159" s="770" t="s">
        <v>386</v>
      </c>
      <c r="C159" s="748">
        <v>50000</v>
      </c>
      <c r="D159" s="748"/>
      <c r="E159" s="748"/>
      <c r="F159" s="748"/>
      <c r="G159" s="748"/>
      <c r="H159" s="748"/>
      <c r="I159" s="748"/>
      <c r="J159" s="748"/>
      <c r="K159" s="748"/>
      <c r="L159" s="748"/>
      <c r="M159" s="748">
        <f t="shared" si="26"/>
        <v>50000</v>
      </c>
      <c r="N159" s="750"/>
      <c r="O159" s="750"/>
      <c r="P159" s="750"/>
      <c r="Q159" s="750"/>
      <c r="R159" s="750"/>
      <c r="S159" s="750"/>
      <c r="T159" s="750"/>
      <c r="U159" s="750"/>
      <c r="V159" s="750">
        <f t="shared" si="27"/>
        <v>0</v>
      </c>
      <c r="W159" s="789">
        <f t="shared" si="28"/>
        <v>50000</v>
      </c>
      <c r="X159" s="796"/>
      <c r="Y159" s="796"/>
    </row>
    <row r="160" s="713" customFormat="1" ht="21" customHeight="1" spans="1:25">
      <c r="A160" s="800"/>
      <c r="B160" s="770" t="s">
        <v>387</v>
      </c>
      <c r="C160" s="748">
        <v>100000</v>
      </c>
      <c r="D160" s="748"/>
      <c r="E160" s="748"/>
      <c r="F160" s="748"/>
      <c r="G160" s="748"/>
      <c r="H160" s="748"/>
      <c r="I160" s="748"/>
      <c r="J160" s="748"/>
      <c r="K160" s="748"/>
      <c r="L160" s="748"/>
      <c r="M160" s="748">
        <f t="shared" si="26"/>
        <v>100000</v>
      </c>
      <c r="N160" s="750"/>
      <c r="O160" s="750"/>
      <c r="P160" s="750"/>
      <c r="Q160" s="750"/>
      <c r="R160" s="750"/>
      <c r="S160" s="750"/>
      <c r="T160" s="750"/>
      <c r="U160" s="750"/>
      <c r="V160" s="750">
        <f t="shared" si="27"/>
        <v>0</v>
      </c>
      <c r="W160" s="789">
        <f t="shared" si="28"/>
        <v>100000</v>
      </c>
      <c r="X160" s="796"/>
      <c r="Y160" s="796"/>
    </row>
    <row r="161" s="713" customFormat="1" ht="21" customHeight="1" spans="1:28">
      <c r="A161" s="800"/>
      <c r="B161" s="770" t="s">
        <v>388</v>
      </c>
      <c r="C161" s="748">
        <v>400000</v>
      </c>
      <c r="D161" s="748"/>
      <c r="E161" s="748"/>
      <c r="F161" s="748"/>
      <c r="G161" s="748"/>
      <c r="H161" s="748"/>
      <c r="I161" s="748"/>
      <c r="J161" s="748"/>
      <c r="K161" s="748"/>
      <c r="L161" s="748"/>
      <c r="M161" s="748">
        <f t="shared" si="26"/>
        <v>400000</v>
      </c>
      <c r="N161" s="750"/>
      <c r="O161" s="750"/>
      <c r="P161" s="750"/>
      <c r="Q161" s="750"/>
      <c r="R161" s="750"/>
      <c r="S161" s="750"/>
      <c r="T161" s="750"/>
      <c r="U161" s="750"/>
      <c r="V161" s="750">
        <f t="shared" si="27"/>
        <v>0</v>
      </c>
      <c r="W161" s="789">
        <f t="shared" si="28"/>
        <v>400000</v>
      </c>
      <c r="X161" s="796"/>
      <c r="Y161" s="796"/>
    </row>
    <row r="162" s="713" customFormat="1" ht="21" customHeight="1" spans="1:28">
      <c r="A162" s="800"/>
      <c r="B162" s="770" t="s">
        <v>389</v>
      </c>
      <c r="C162" s="748">
        <v>300000</v>
      </c>
      <c r="D162" s="748"/>
      <c r="E162" s="748"/>
      <c r="F162" s="748"/>
      <c r="G162" s="748"/>
      <c r="H162" s="748"/>
      <c r="I162" s="748"/>
      <c r="J162" s="748"/>
      <c r="K162" s="748"/>
      <c r="L162" s="748"/>
      <c r="M162" s="748">
        <f t="shared" si="26"/>
        <v>300000</v>
      </c>
      <c r="N162" s="750"/>
      <c r="O162" s="750"/>
      <c r="P162" s="750"/>
      <c r="Q162" s="750"/>
      <c r="R162" s="750"/>
      <c r="S162" s="750"/>
      <c r="T162" s="750"/>
      <c r="U162" s="750"/>
      <c r="V162" s="750">
        <f t="shared" si="27"/>
        <v>0</v>
      </c>
      <c r="W162" s="789">
        <f t="shared" si="28"/>
        <v>300000</v>
      </c>
      <c r="X162" s="796"/>
      <c r="Y162" s="796"/>
    </row>
    <row r="163" s="713" customFormat="1" ht="21" customHeight="1" spans="1:28">
      <c r="A163" s="800"/>
      <c r="B163" s="770" t="s">
        <v>390</v>
      </c>
      <c r="C163" s="748">
        <v>100000</v>
      </c>
      <c r="D163" s="748"/>
      <c r="E163" s="748"/>
      <c r="F163" s="748"/>
      <c r="G163" s="748"/>
      <c r="H163" s="748"/>
      <c r="I163" s="748"/>
      <c r="J163" s="748"/>
      <c r="K163" s="748"/>
      <c r="L163" s="748"/>
      <c r="M163" s="748">
        <f t="shared" si="26"/>
        <v>100000</v>
      </c>
      <c r="N163" s="750"/>
      <c r="O163" s="750"/>
      <c r="P163" s="750"/>
      <c r="Q163" s="750"/>
      <c r="R163" s="750"/>
      <c r="S163" s="750"/>
      <c r="T163" s="750"/>
      <c r="U163" s="750"/>
      <c r="V163" s="750">
        <f t="shared" si="27"/>
        <v>0</v>
      </c>
      <c r="W163" s="789">
        <f t="shared" si="28"/>
        <v>100000</v>
      </c>
      <c r="X163" s="796"/>
      <c r="Y163" s="796"/>
    </row>
    <row r="164" s="713" customFormat="1" ht="21" customHeight="1" spans="1:28">
      <c r="A164" s="800"/>
      <c r="B164" s="770" t="s">
        <v>391</v>
      </c>
      <c r="C164" s="748">
        <v>25000</v>
      </c>
      <c r="D164" s="748"/>
      <c r="E164" s="748"/>
      <c r="F164" s="748"/>
      <c r="G164" s="748"/>
      <c r="H164" s="748"/>
      <c r="I164" s="748"/>
      <c r="J164" s="748"/>
      <c r="K164" s="748"/>
      <c r="L164" s="748"/>
      <c r="M164" s="748">
        <f t="shared" si="26"/>
        <v>25000</v>
      </c>
      <c r="N164" s="750"/>
      <c r="O164" s="750"/>
      <c r="P164" s="750"/>
      <c r="Q164" s="750"/>
      <c r="R164" s="750"/>
      <c r="S164" s="750"/>
      <c r="T164" s="750"/>
      <c r="U164" s="750"/>
      <c r="V164" s="750">
        <f t="shared" si="27"/>
        <v>0</v>
      </c>
      <c r="W164" s="789">
        <f t="shared" si="28"/>
        <v>25000</v>
      </c>
      <c r="X164" s="796"/>
      <c r="Y164" s="796"/>
    </row>
    <row r="165" s="713" customFormat="1" ht="21" customHeight="1" spans="1:28">
      <c r="A165" s="800"/>
      <c r="B165" s="770" t="s">
        <v>392</v>
      </c>
      <c r="C165" s="748">
        <v>50000</v>
      </c>
      <c r="D165" s="748"/>
      <c r="E165" s="748"/>
      <c r="F165" s="748"/>
      <c r="G165" s="748"/>
      <c r="H165" s="748"/>
      <c r="I165" s="748"/>
      <c r="J165" s="748"/>
      <c r="K165" s="748"/>
      <c r="L165" s="748"/>
      <c r="M165" s="748">
        <f t="shared" si="26"/>
        <v>50000</v>
      </c>
      <c r="N165" s="750"/>
      <c r="O165" s="750"/>
      <c r="P165" s="750"/>
      <c r="Q165" s="750"/>
      <c r="R165" s="750"/>
      <c r="S165" s="750"/>
      <c r="T165" s="750"/>
      <c r="U165" s="750"/>
      <c r="V165" s="750">
        <f t="shared" si="27"/>
        <v>0</v>
      </c>
      <c r="W165" s="789">
        <f t="shared" si="28"/>
        <v>50000</v>
      </c>
      <c r="X165" s="796"/>
      <c r="Y165" s="796"/>
    </row>
    <row r="166" s="713" customFormat="1" ht="21" customHeight="1" spans="1:28">
      <c r="A166" s="800"/>
      <c r="B166" s="770" t="s">
        <v>393</v>
      </c>
      <c r="C166" s="748">
        <v>200000</v>
      </c>
      <c r="D166" s="748"/>
      <c r="E166" s="748"/>
      <c r="F166" s="748"/>
      <c r="G166" s="748"/>
      <c r="H166" s="748"/>
      <c r="I166" s="748"/>
      <c r="J166" s="748"/>
      <c r="K166" s="748"/>
      <c r="L166" s="748"/>
      <c r="M166" s="748">
        <f t="shared" si="26"/>
        <v>200000</v>
      </c>
      <c r="N166" s="750"/>
      <c r="O166" s="750"/>
      <c r="P166" s="750"/>
      <c r="Q166" s="750"/>
      <c r="R166" s="750"/>
      <c r="S166" s="750"/>
      <c r="T166" s="750"/>
      <c r="U166" s="750"/>
      <c r="V166" s="750">
        <f t="shared" si="27"/>
        <v>0</v>
      </c>
      <c r="W166" s="789">
        <f t="shared" si="28"/>
        <v>200000</v>
      </c>
      <c r="X166" s="796"/>
      <c r="Y166" s="796"/>
    </row>
    <row r="167" s="713" customFormat="1" ht="21" customHeight="1" spans="1:28">
      <c r="A167" s="800"/>
      <c r="B167" s="770" t="s">
        <v>394</v>
      </c>
      <c r="C167" s="748">
        <v>120000</v>
      </c>
      <c r="D167" s="748"/>
      <c r="E167" s="748"/>
      <c r="F167" s="748"/>
      <c r="G167" s="748"/>
      <c r="H167" s="748"/>
      <c r="I167" s="748"/>
      <c r="J167" s="748"/>
      <c r="K167" s="748"/>
      <c r="L167" s="748"/>
      <c r="M167" s="748">
        <f t="shared" si="26"/>
        <v>120000</v>
      </c>
      <c r="N167" s="750"/>
      <c r="O167" s="750"/>
      <c r="P167" s="750"/>
      <c r="Q167" s="750"/>
      <c r="R167" s="750"/>
      <c r="S167" s="750"/>
      <c r="T167" s="750"/>
      <c r="U167" s="750"/>
      <c r="V167" s="750">
        <f t="shared" si="27"/>
        <v>0</v>
      </c>
      <c r="W167" s="789">
        <f t="shared" si="28"/>
        <v>120000</v>
      </c>
      <c r="X167" s="796"/>
      <c r="Y167" s="796"/>
    </row>
    <row r="168" s="713" customFormat="1" ht="21" customHeight="1" spans="1:28">
      <c r="A168" s="800"/>
      <c r="B168" s="770" t="s">
        <v>395</v>
      </c>
      <c r="C168" s="748">
        <v>50000</v>
      </c>
      <c r="D168" s="748"/>
      <c r="E168" s="748"/>
      <c r="F168" s="748"/>
      <c r="G168" s="748"/>
      <c r="H168" s="748"/>
      <c r="I168" s="748"/>
      <c r="J168" s="748"/>
      <c r="K168" s="748"/>
      <c r="L168" s="748"/>
      <c r="M168" s="748">
        <f t="shared" si="26"/>
        <v>50000</v>
      </c>
      <c r="N168" s="750"/>
      <c r="O168" s="750"/>
      <c r="P168" s="750"/>
      <c r="Q168" s="750"/>
      <c r="R168" s="750"/>
      <c r="S168" s="750"/>
      <c r="T168" s="750"/>
      <c r="U168" s="750"/>
      <c r="V168" s="750">
        <f t="shared" si="27"/>
        <v>0</v>
      </c>
      <c r="W168" s="789">
        <f t="shared" si="28"/>
        <v>50000</v>
      </c>
      <c r="X168" s="796"/>
      <c r="Y168" s="796"/>
    </row>
    <row r="169" s="713" customFormat="1" ht="21" customHeight="1" spans="1:28">
      <c r="A169" s="800"/>
      <c r="B169" s="770" t="s">
        <v>364</v>
      </c>
      <c r="C169" s="748">
        <v>1060000</v>
      </c>
      <c r="D169" s="748"/>
      <c r="E169" s="748"/>
      <c r="F169" s="748"/>
      <c r="G169" s="748"/>
      <c r="H169" s="748"/>
      <c r="I169" s="748"/>
      <c r="J169" s="748"/>
      <c r="K169" s="748"/>
      <c r="L169" s="748"/>
      <c r="M169" s="748">
        <f>SUM(C169:L169)</f>
        <v>1060000</v>
      </c>
      <c r="N169" s="750"/>
      <c r="O169" s="750"/>
      <c r="P169" s="750"/>
      <c r="Q169" s="750"/>
      <c r="R169" s="750"/>
      <c r="S169" s="750"/>
      <c r="T169" s="750"/>
      <c r="U169" s="750"/>
      <c r="V169" s="750">
        <f>SUM(N169:U169)</f>
        <v>0</v>
      </c>
      <c r="W169" s="789">
        <f>SUM(M169-V169)</f>
        <v>1060000</v>
      </c>
      <c r="X169" s="796"/>
      <c r="Y169" s="796"/>
    </row>
    <row r="170" s="713" customFormat="1" ht="21" customHeight="1" spans="1:28">
      <c r="A170" s="800"/>
      <c r="B170" s="770" t="s">
        <v>396</v>
      </c>
      <c r="C170" s="748">
        <v>125000</v>
      </c>
      <c r="D170" s="748"/>
      <c r="E170" s="748"/>
      <c r="F170" s="748"/>
      <c r="G170" s="748"/>
      <c r="H170" s="748"/>
      <c r="I170" s="748"/>
      <c r="J170" s="748"/>
      <c r="K170" s="748"/>
      <c r="L170" s="748"/>
      <c r="M170" s="748">
        <f>SUM(C170:L170)</f>
        <v>125000</v>
      </c>
      <c r="N170" s="750"/>
      <c r="O170" s="750"/>
      <c r="P170" s="750"/>
      <c r="Q170" s="750"/>
      <c r="R170" s="750"/>
      <c r="S170" s="750"/>
      <c r="T170" s="750"/>
      <c r="U170" s="750"/>
      <c r="V170" s="750">
        <f>SUM(N170:U170)</f>
        <v>0</v>
      </c>
      <c r="W170" s="789">
        <f>SUM(M170-V170)</f>
        <v>125000</v>
      </c>
      <c r="X170" s="796"/>
      <c r="Y170" s="796"/>
    </row>
    <row r="171" s="713" customFormat="1" ht="21" customHeight="1" spans="1:28">
      <c r="A171" s="800"/>
      <c r="B171" s="770" t="s">
        <v>397</v>
      </c>
      <c r="C171" s="748"/>
      <c r="D171" s="748"/>
      <c r="E171" s="748"/>
      <c r="F171" s="748"/>
      <c r="G171" s="748"/>
      <c r="H171" s="748"/>
      <c r="I171" s="748"/>
      <c r="J171" s="748">
        <f>SUM('TOKO BENGKEL'!N103)</f>
        <v>362404</v>
      </c>
      <c r="K171" s="748"/>
      <c r="L171" s="748"/>
      <c r="M171" s="748">
        <f>SUM(C171:L171)</f>
        <v>362404</v>
      </c>
      <c r="N171" s="750"/>
      <c r="O171" s="750"/>
      <c r="P171" s="750"/>
      <c r="Q171" s="750"/>
      <c r="R171" s="750"/>
      <c r="S171" s="750"/>
      <c r="T171" s="750"/>
      <c r="U171" s="750"/>
      <c r="V171" s="750">
        <f>SUM(N171:U171)</f>
        <v>0</v>
      </c>
      <c r="W171" s="789">
        <f>SUM(M171-V171)</f>
        <v>362404</v>
      </c>
      <c r="X171" s="796"/>
      <c r="Y171" s="796"/>
    </row>
    <row r="172" s="713" customFormat="1" ht="21" customHeight="1" spans="1:28">
      <c r="A172" s="800"/>
      <c r="B172" s="770" t="s">
        <v>398</v>
      </c>
      <c r="C172" s="748"/>
      <c r="D172" s="748"/>
      <c r="E172" s="748">
        <v>713870</v>
      </c>
      <c r="F172" s="748"/>
      <c r="G172" s="748"/>
      <c r="H172" s="748"/>
      <c r="I172" s="748"/>
      <c r="J172" s="748"/>
      <c r="K172" s="748"/>
      <c r="L172" s="748"/>
      <c r="M172" s="748">
        <f>SUM(C172:L172)</f>
        <v>713870</v>
      </c>
      <c r="N172" s="750"/>
      <c r="O172" s="750"/>
      <c r="P172" s="750"/>
      <c r="Q172" s="750"/>
      <c r="R172" s="750"/>
      <c r="S172" s="750"/>
      <c r="T172" s="750"/>
      <c r="U172" s="750"/>
      <c r="V172" s="750">
        <f>SUM(N172:U172)</f>
        <v>0</v>
      </c>
      <c r="W172" s="789">
        <f>SUM(M172-V172)</f>
        <v>713870</v>
      </c>
      <c r="X172" s="796"/>
      <c r="Y172" s="796"/>
    </row>
    <row r="173" s="713" customFormat="1" ht="21" customHeight="1" spans="1:28">
      <c r="A173" s="803"/>
      <c r="B173" s="770" t="s">
        <v>399</v>
      </c>
      <c r="C173" s="748"/>
      <c r="D173" s="748"/>
      <c r="E173" s="748">
        <v>2431000</v>
      </c>
      <c r="F173" s="748"/>
      <c r="G173" s="748"/>
      <c r="H173" s="748"/>
      <c r="I173" s="748"/>
      <c r="J173" s="748"/>
      <c r="K173" s="748"/>
      <c r="L173" s="748"/>
      <c r="M173" s="748">
        <f>SUM(C173:L173)</f>
        <v>2431000</v>
      </c>
      <c r="N173" s="750"/>
      <c r="O173" s="750"/>
      <c r="P173" s="750"/>
      <c r="Q173" s="750"/>
      <c r="R173" s="750"/>
      <c r="S173" s="748"/>
      <c r="T173" s="750"/>
      <c r="U173" s="750"/>
      <c r="V173" s="750">
        <f>SUM(N173:U173)</f>
        <v>0</v>
      </c>
      <c r="W173" s="789">
        <f>SUM(M173-V173)</f>
        <v>2431000</v>
      </c>
      <c r="X173" s="796"/>
      <c r="Y173" s="796"/>
    </row>
    <row r="174" s="713" customFormat="1" ht="21" customHeight="1" spans="1:28">
      <c r="A174" s="804"/>
      <c r="B174" s="805"/>
      <c r="C174" s="750">
        <f>SUM(C8:C173)</f>
        <v>13957858</v>
      </c>
      <c r="D174" s="750">
        <f>SUM(D20:D173)</f>
        <v>34796500</v>
      </c>
      <c r="E174" s="750">
        <f>SUM(E8:E173)</f>
        <v>3144870</v>
      </c>
      <c r="F174" s="750">
        <f>SUM(F123:F173)</f>
        <v>800000</v>
      </c>
      <c r="G174" s="750">
        <f>SUM(G77:G173)</f>
        <v>280000</v>
      </c>
      <c r="H174" s="750">
        <f>SUM(H8:H112)</f>
        <v>0</v>
      </c>
      <c r="I174" s="750">
        <f>SUM(I36:I173)</f>
        <v>0</v>
      </c>
      <c r="J174" s="750">
        <f>SUM(J75:J135)</f>
        <v>0</v>
      </c>
      <c r="K174" s="750">
        <f>SUM(K8:K118)</f>
        <v>73710900</v>
      </c>
      <c r="L174" s="750">
        <f>SUM(L8:L62)</f>
        <v>0</v>
      </c>
      <c r="M174" s="750">
        <f>SUM(M8:M173)</f>
        <v>129377549</v>
      </c>
      <c r="N174" s="750"/>
      <c r="O174" s="750"/>
      <c r="P174" s="750"/>
      <c r="Q174" s="750">
        <f>SUM(Q8:Q81)</f>
        <v>234492900</v>
      </c>
      <c r="R174" s="750">
        <f>SUM(R9:R81)</f>
        <v>409000</v>
      </c>
      <c r="S174" s="750">
        <f>SUM(S18:S173)</f>
        <v>63177675.2</v>
      </c>
      <c r="T174" s="750">
        <f>SUM(T8:T173)</f>
        <v>4120000</v>
      </c>
      <c r="U174" s="750"/>
      <c r="V174" s="750">
        <f>SUM(V8:V173)</f>
        <v>99657017</v>
      </c>
      <c r="W174" s="769">
        <f>SUM(W8:W173)</f>
        <v>51053772.216667</v>
      </c>
      <c r="X174" s="796">
        <v>94916913</v>
      </c>
      <c r="Y174" s="796"/>
    </row>
    <row r="175" spans="1:28">
      <c r="A175" s="619"/>
      <c r="B175" s="806"/>
      <c r="C175" s="807">
        <f>SUM(MODUS!I162)</f>
        <v>13957858</v>
      </c>
      <c r="D175" s="807">
        <f>SUM(MULTI!O57)</f>
        <v>34796500</v>
      </c>
      <c r="E175" s="807"/>
      <c r="F175" s="807"/>
      <c r="G175" s="807"/>
      <c r="H175" s="807"/>
      <c r="I175" s="807"/>
      <c r="J175" s="807"/>
      <c r="K175" s="807"/>
      <c r="L175" s="807">
        <f>SUM(L8:L62)</f>
        <v>0</v>
      </c>
      <c r="M175" s="808"/>
      <c r="N175" s="807"/>
      <c r="O175" s="807"/>
      <c r="P175" s="807"/>
      <c r="Q175" s="807"/>
      <c r="R175" s="807"/>
      <c r="S175" s="807"/>
      <c r="T175" s="807"/>
      <c r="U175" s="809"/>
      <c r="V175" s="808"/>
      <c r="W175" s="808">
        <f>SUM(M174-V174+W8)</f>
        <v>51053772.216667</v>
      </c>
      <c r="X175" s="810"/>
      <c r="Y175" s="810">
        <f>SUM([46]KASHAR!$U$217)</f>
        <v>0</v>
      </c>
      <c r="AB175" s="715">
        <f>Y182+24000000</f>
        <v>53911413</v>
      </c>
    </row>
    <row r="176" spans="1:28">
      <c r="A176" s="619"/>
      <c r="B176" s="806"/>
      <c r="C176" s="811">
        <f>C174-C175</f>
        <v>0</v>
      </c>
      <c r="D176" s="811">
        <f>D174-D175</f>
        <v>0</v>
      </c>
      <c r="E176" s="811"/>
      <c r="F176" s="811"/>
      <c r="G176" s="811"/>
      <c r="H176" s="811"/>
      <c r="I176" s="811"/>
      <c r="J176" s="811"/>
      <c r="K176" s="811"/>
      <c r="L176" s="811"/>
      <c r="M176" s="812"/>
      <c r="N176" s="811"/>
      <c r="O176" s="811"/>
      <c r="P176" s="811"/>
      <c r="Q176" s="811"/>
      <c r="R176" s="811"/>
      <c r="S176" s="811"/>
      <c r="T176" s="811"/>
      <c r="U176" s="813"/>
      <c r="V176" s="812"/>
      <c r="W176" s="812"/>
      <c r="X176" s="810"/>
      <c r="Y176" s="810"/>
    </row>
    <row r="177" spans="1:28">
      <c r="A177" s="619"/>
      <c r="B177" s="721" t="s">
        <v>400</v>
      </c>
      <c r="C177" s="721"/>
      <c r="D177" s="721"/>
      <c r="E177" s="721"/>
      <c r="F177" s="721"/>
      <c r="G177" s="721"/>
      <c r="H177" s="721"/>
      <c r="I177" s="721"/>
      <c r="J177" s="721"/>
      <c r="K177" s="721"/>
      <c r="L177" s="721"/>
      <c r="M177" s="721"/>
      <c r="N177" s="721"/>
      <c r="O177" s="721"/>
      <c r="P177" s="721"/>
      <c r="Q177" s="721"/>
      <c r="R177" s="721"/>
      <c r="S177" s="721"/>
      <c r="T177" s="721"/>
      <c r="U177" s="722"/>
      <c r="V177" s="721"/>
      <c r="W177" s="721"/>
      <c r="X177" s="810"/>
      <c r="Y177" s="810"/>
      <c r="Z177" s="810"/>
      <c r="AA177" s="810">
        <f>SUM(W174-Y182)</f>
        <v>21142359.216667</v>
      </c>
    </row>
    <row r="178" spans="1:28">
      <c r="A178" s="619"/>
      <c r="C178" s="814" t="s">
        <v>401</v>
      </c>
      <c r="D178" s="814"/>
      <c r="N178" s="815" t="s">
        <v>402</v>
      </c>
      <c r="O178" s="815"/>
      <c r="P178" s="815"/>
      <c r="Q178" s="815"/>
      <c r="R178" s="815"/>
      <c r="S178" s="815"/>
      <c r="W178" s="816"/>
      <c r="X178" s="810"/>
      <c r="Y178" s="810"/>
      <c r="AA178" s="810">
        <f>AA177-2350000</f>
        <v>18792359.216667</v>
      </c>
      <c r="AB178" s="810"/>
    </row>
    <row r="179" spans="1:28">
      <c r="A179" s="619"/>
      <c r="D179" s="815"/>
      <c r="F179" s="553"/>
      <c r="X179" s="810" t="s">
        <v>403</v>
      </c>
      <c r="Y179" s="810">
        <v>3000000</v>
      </c>
      <c r="Z179" s="810"/>
      <c r="AB179" s="810"/>
    </row>
    <row r="180" spans="1:28">
      <c r="A180" s="619"/>
      <c r="X180" s="810" t="s">
        <v>404</v>
      </c>
      <c r="Y180" s="810">
        <v>27788376</v>
      </c>
      <c r="Z180" s="810"/>
    </row>
    <row r="181" spans="1:28">
      <c r="A181" s="619"/>
      <c r="D181" s="817"/>
      <c r="E181" s="817"/>
      <c r="F181" s="817"/>
      <c r="G181" s="817"/>
      <c r="H181" s="817"/>
      <c r="I181" s="817"/>
      <c r="J181" s="817"/>
      <c r="K181" s="817"/>
      <c r="L181" s="817"/>
      <c r="M181" s="817"/>
      <c r="X181" s="810"/>
      <c r="Y181" s="810">
        <f>SUM(S174-Y180)</f>
        <v>35389299.2</v>
      </c>
    </row>
    <row r="182" spans="1:28">
      <c r="A182" s="619"/>
      <c r="B182" s="818"/>
      <c r="C182" s="819"/>
      <c r="D182" s="819"/>
      <c r="E182" s="817"/>
      <c r="F182" s="817"/>
      <c r="G182" s="817"/>
      <c r="H182" s="817"/>
      <c r="I182" s="817"/>
      <c r="J182" s="817"/>
      <c r="K182" s="817"/>
      <c r="L182" s="817"/>
      <c r="M182" s="817"/>
      <c r="X182" s="810"/>
      <c r="Y182" s="553">
        <v>29911413</v>
      </c>
      <c r="AA182" s="810">
        <f>Y182+Y183</f>
        <v>43706413</v>
      </c>
    </row>
    <row r="183" spans="1:28">
      <c r="B183" s="820"/>
      <c r="C183" s="818" t="s">
        <v>117</v>
      </c>
      <c r="D183" s="818"/>
      <c r="N183" s="821" t="s">
        <v>405</v>
      </c>
      <c r="O183" s="821"/>
      <c r="P183" s="821"/>
      <c r="Q183" s="821"/>
      <c r="R183" s="821"/>
      <c r="S183" s="821"/>
      <c r="T183" s="821"/>
      <c r="U183" s="822"/>
      <c r="V183" s="821"/>
      <c r="X183" s="810"/>
      <c r="Y183" s="810">
        <v>13795000</v>
      </c>
      <c r="Z183" s="715" t="s">
        <v>406</v>
      </c>
      <c r="AA183" s="810">
        <v>151568913</v>
      </c>
      <c r="AB183" s="810">
        <f>Y182+Y183</f>
        <v>43706413</v>
      </c>
    </row>
    <row r="184" spans="1:28">
      <c r="C184" s="815" t="s">
        <v>407</v>
      </c>
      <c r="D184" s="815"/>
      <c r="N184" s="823" t="s">
        <v>408</v>
      </c>
      <c r="O184" s="823"/>
      <c r="P184" s="823"/>
      <c r="Q184" s="823"/>
      <c r="R184" s="823"/>
      <c r="S184" s="823"/>
      <c r="T184" s="823"/>
      <c r="U184" s="823"/>
      <c r="V184" s="824"/>
      <c r="X184" s="810"/>
      <c r="Y184" s="810">
        <f>SUM(Y181:Y183)</f>
        <v>79095712.2</v>
      </c>
      <c r="AA184" s="810"/>
    </row>
    <row r="185" spans="1:28">
      <c r="X185" s="810"/>
      <c r="Y185" s="553">
        <f>SUM(W174+Q14)</f>
        <v>171053772.216667</v>
      </c>
    </row>
    <row r="186" spans="1:28">
      <c r="T186" s="810"/>
      <c r="U186" s="825"/>
      <c r="V186" s="826"/>
      <c r="X186" s="810"/>
      <c r="Y186" s="810">
        <f>Y185-Y184</f>
        <v>91958060.016667</v>
      </c>
    </row>
    <row r="187" spans="1:28">
      <c r="T187" s="810"/>
      <c r="U187" s="825"/>
      <c r="V187" s="826"/>
      <c r="X187" s="810"/>
    </row>
    <row r="188" spans="1:28">
      <c r="T188" s="810"/>
      <c r="U188" s="825"/>
      <c r="V188" s="826"/>
      <c r="X188" s="810" t="s">
        <v>409</v>
      </c>
      <c r="Y188" s="553">
        <v>7273329</v>
      </c>
    </row>
    <row r="189" spans="1:28">
      <c r="T189" s="810"/>
      <c r="U189" s="825"/>
      <c r="V189" s="826"/>
      <c r="X189" s="810"/>
      <c r="Y189" s="553"/>
    </row>
    <row r="190" spans="1:28">
      <c r="S190" s="715" t="s">
        <v>226</v>
      </c>
      <c r="T190" s="810"/>
      <c r="U190" s="825"/>
      <c r="V190" s="826"/>
      <c r="X190" s="810"/>
    </row>
    <row r="191" spans="1:28">
      <c r="T191" s="810"/>
      <c r="U191" s="825"/>
      <c r="V191" s="826"/>
      <c r="X191" s="810"/>
    </row>
    <row r="192" spans="1:28">
      <c r="T192" s="810"/>
      <c r="U192" s="825"/>
      <c r="V192" s="826"/>
      <c r="X192" s="810"/>
    </row>
    <row r="193" spans="20:24">
      <c r="T193" s="810"/>
      <c r="U193" s="825"/>
      <c r="V193" s="826"/>
      <c r="X193" s="810"/>
    </row>
    <row r="194" spans="20:24">
      <c r="T194" s="810"/>
      <c r="U194" s="825"/>
      <c r="V194" s="826"/>
      <c r="X194" s="810"/>
    </row>
    <row r="195" spans="20:24">
      <c r="T195" s="810"/>
      <c r="U195" s="825"/>
      <c r="V195" s="826"/>
      <c r="X195" s="810"/>
    </row>
    <row r="196" spans="20:24">
      <c r="T196" s="810"/>
      <c r="U196" s="825"/>
      <c r="V196" s="826"/>
      <c r="X196" s="810"/>
    </row>
    <row r="197" spans="20:24">
      <c r="T197" s="810"/>
      <c r="U197" s="825"/>
      <c r="V197" s="826"/>
      <c r="X197" s="810"/>
    </row>
    <row r="198" spans="20:24">
      <c r="T198" s="810"/>
      <c r="U198" s="825"/>
      <c r="V198" s="826"/>
      <c r="X198" s="810"/>
    </row>
    <row r="199" spans="20:24">
      <c r="T199" s="810"/>
      <c r="U199" s="825"/>
      <c r="V199" s="826"/>
      <c r="X199" s="810"/>
    </row>
    <row r="200" spans="20:24">
      <c r="T200" s="810"/>
      <c r="U200" s="825"/>
      <c r="V200" s="826"/>
      <c r="X200" s="810"/>
    </row>
    <row r="201" spans="20:24">
      <c r="T201" s="810"/>
      <c r="U201" s="825"/>
      <c r="V201" s="826"/>
      <c r="X201" s="810"/>
    </row>
    <row r="202" spans="20:24">
      <c r="T202" s="810"/>
      <c r="U202" s="825"/>
      <c r="V202" s="826"/>
      <c r="X202" s="810"/>
    </row>
    <row r="203" spans="20:24">
      <c r="T203" s="810"/>
      <c r="U203" s="825"/>
      <c r="V203" s="826"/>
      <c r="X203" s="810"/>
    </row>
    <row r="204" spans="20:24">
      <c r="T204" s="810"/>
      <c r="U204" s="825"/>
      <c r="V204" s="826"/>
      <c r="X204" s="810"/>
    </row>
    <row r="205" spans="20:24">
      <c r="T205" s="810"/>
      <c r="U205" s="825"/>
      <c r="V205" s="826"/>
      <c r="X205" s="810"/>
    </row>
    <row r="206" spans="20:24">
      <c r="T206" s="810"/>
      <c r="U206" s="825"/>
      <c r="V206" s="826"/>
      <c r="X206" s="810"/>
    </row>
    <row r="207" spans="20:24">
      <c r="T207" s="810"/>
      <c r="U207" s="825"/>
      <c r="V207" s="826"/>
      <c r="X207" s="810"/>
    </row>
    <row r="208" spans="20:24">
      <c r="T208" s="810"/>
      <c r="U208" s="825"/>
      <c r="V208" s="826"/>
      <c r="X208" s="810"/>
    </row>
    <row r="209" spans="20:26">
      <c r="T209" s="810"/>
      <c r="U209" s="825"/>
      <c r="V209" s="826"/>
      <c r="X209" s="810"/>
    </row>
    <row r="210" spans="20:26">
      <c r="T210" s="810"/>
      <c r="U210" s="825"/>
      <c r="V210" s="826"/>
      <c r="X210" s="810"/>
    </row>
    <row r="211" spans="20:26">
      <c r="T211" s="810"/>
      <c r="U211" s="825"/>
      <c r="V211" s="826"/>
      <c r="X211" s="810"/>
    </row>
    <row r="212" spans="20:26">
      <c r="T212" s="810"/>
      <c r="U212" s="825"/>
      <c r="V212" s="826"/>
      <c r="X212" s="810"/>
      <c r="Z212" s="619"/>
    </row>
    <row r="213" spans="20:26">
      <c r="T213" s="810"/>
      <c r="U213" s="825"/>
      <c r="V213" s="826"/>
      <c r="X213" s="810"/>
    </row>
    <row r="214" spans="20:26">
      <c r="T214" s="810"/>
      <c r="U214" s="825"/>
      <c r="V214" s="826"/>
      <c r="X214" s="810"/>
    </row>
    <row r="215" spans="20:26">
      <c r="T215" s="810"/>
      <c r="U215" s="825"/>
      <c r="V215" s="826"/>
      <c r="X215" s="810"/>
    </row>
    <row r="216" spans="20:26">
      <c r="T216" s="810"/>
      <c r="U216" s="825"/>
      <c r="V216" s="826"/>
      <c r="X216" s="810"/>
    </row>
    <row r="217" spans="20:26">
      <c r="T217" s="810"/>
      <c r="U217" s="825"/>
      <c r="V217" s="826"/>
      <c r="X217" s="810"/>
    </row>
    <row r="218" spans="20:26">
      <c r="T218" s="810"/>
      <c r="U218" s="825"/>
      <c r="V218" s="826"/>
      <c r="X218" s="810"/>
    </row>
    <row r="219" spans="20:26">
      <c r="T219" s="810"/>
      <c r="U219" s="825"/>
      <c r="V219" s="826"/>
      <c r="X219" s="810"/>
    </row>
    <row r="220" spans="20:26">
      <c r="T220" s="810"/>
      <c r="U220" s="825"/>
      <c r="V220" s="826"/>
      <c r="X220" s="810"/>
    </row>
    <row r="221" spans="20:26">
      <c r="T221" s="810"/>
      <c r="U221" s="825"/>
      <c r="V221" s="826"/>
      <c r="X221" s="810"/>
    </row>
    <row r="222" spans="20:26">
      <c r="T222" s="810"/>
      <c r="U222" s="825"/>
      <c r="V222" s="826"/>
      <c r="X222" s="810"/>
    </row>
    <row r="223" spans="20:26">
      <c r="T223" s="810"/>
      <c r="U223" s="825"/>
      <c r="V223" s="826"/>
      <c r="X223" s="810"/>
    </row>
    <row r="224" spans="20:26">
      <c r="T224" s="810"/>
      <c r="U224" s="825"/>
      <c r="V224" s="826"/>
      <c r="X224" s="810"/>
    </row>
    <row r="225" spans="20:24">
      <c r="T225" s="810"/>
      <c r="U225" s="825"/>
      <c r="V225" s="826"/>
      <c r="X225" s="810"/>
    </row>
    <row r="226" spans="20:24">
      <c r="T226" s="810"/>
      <c r="U226" s="825"/>
      <c r="V226" s="826"/>
      <c r="X226" s="810"/>
    </row>
    <row r="227" spans="20:24">
      <c r="T227" s="810"/>
      <c r="U227" s="825"/>
      <c r="V227" s="826"/>
      <c r="X227" s="810"/>
    </row>
    <row r="228" spans="20:24">
      <c r="T228" s="810"/>
      <c r="U228" s="825"/>
      <c r="V228" s="826"/>
      <c r="X228" s="810"/>
    </row>
    <row r="229" spans="20:24">
      <c r="T229" s="810"/>
      <c r="U229" s="825"/>
      <c r="V229" s="826"/>
      <c r="X229" s="810"/>
    </row>
    <row r="230" spans="20:24">
      <c r="T230" s="810"/>
      <c r="U230" s="825"/>
      <c r="V230" s="826"/>
      <c r="X230" s="810"/>
    </row>
    <row r="231" spans="20:24">
      <c r="T231" s="810"/>
      <c r="U231" s="825"/>
      <c r="V231" s="826"/>
      <c r="X231" s="810"/>
    </row>
    <row r="232" spans="20:24">
      <c r="T232" s="810"/>
      <c r="U232" s="825"/>
      <c r="V232" s="826"/>
      <c r="X232" s="810"/>
    </row>
    <row r="233" spans="20:24">
      <c r="T233" s="810"/>
      <c r="U233" s="825"/>
      <c r="V233" s="826"/>
      <c r="X233" s="810"/>
    </row>
    <row r="234" spans="20:24">
      <c r="T234" s="810"/>
      <c r="U234" s="825"/>
      <c r="V234" s="826"/>
      <c r="X234" s="810"/>
    </row>
    <row r="235" spans="20:24">
      <c r="T235" s="810"/>
      <c r="U235" s="825"/>
      <c r="V235" s="826"/>
      <c r="X235" s="810"/>
    </row>
    <row r="236" spans="20:24">
      <c r="T236" s="810"/>
      <c r="U236" s="825"/>
      <c r="V236" s="826"/>
      <c r="X236" s="810"/>
    </row>
    <row r="237" spans="20:24">
      <c r="T237" s="810"/>
      <c r="U237" s="825"/>
      <c r="V237" s="826"/>
      <c r="X237" s="810"/>
    </row>
    <row r="238" spans="20:24">
      <c r="T238" s="810"/>
      <c r="U238" s="825"/>
      <c r="V238" s="826"/>
      <c r="X238" s="810"/>
    </row>
    <row r="239" spans="20:24">
      <c r="T239" s="810"/>
      <c r="U239" s="825"/>
      <c r="V239" s="826"/>
      <c r="X239" s="810"/>
    </row>
    <row r="240" spans="20:24">
      <c r="T240" s="810"/>
      <c r="U240" s="825"/>
      <c r="V240" s="826"/>
      <c r="X240" s="810"/>
    </row>
    <row r="241" spans="20:24">
      <c r="T241" s="810"/>
      <c r="U241" s="825"/>
      <c r="V241" s="826"/>
      <c r="X241" s="810"/>
    </row>
    <row r="242" spans="20:24">
      <c r="T242" s="810"/>
      <c r="U242" s="825"/>
      <c r="V242" s="826"/>
      <c r="X242" s="810"/>
    </row>
    <row r="243" spans="20:24">
      <c r="T243" s="810"/>
      <c r="U243" s="825"/>
      <c r="V243" s="826"/>
      <c r="X243" s="810"/>
    </row>
    <row r="244" spans="20:24">
      <c r="X244" s="810"/>
    </row>
    <row r="245" spans="20:24">
      <c r="X245" s="810"/>
    </row>
    <row r="246" spans="20:24">
      <c r="X246" s="810"/>
    </row>
    <row r="247" spans="20:24">
      <c r="X247" s="810"/>
    </row>
    <row r="248" spans="20:24">
      <c r="X248" s="810"/>
    </row>
    <row r="249" spans="20:24">
      <c r="X249" s="810"/>
    </row>
    <row r="250" spans="20:24">
      <c r="X250" s="810"/>
    </row>
    <row r="251" spans="20:24">
      <c r="X251" s="810"/>
    </row>
    <row r="252" spans="20:24">
      <c r="X252" s="810"/>
    </row>
    <row r="253" spans="20:24">
      <c r="X253" s="810"/>
    </row>
    <row r="254" spans="20:24">
      <c r="X254" s="810"/>
    </row>
    <row r="255" spans="20:24">
      <c r="X255" s="810"/>
    </row>
    <row r="256" spans="20:24">
      <c r="X256" s="810"/>
    </row>
    <row r="257" spans="24:24">
      <c r="X257" s="810"/>
    </row>
    <row r="258" spans="24:24">
      <c r="X258" s="810"/>
    </row>
    <row r="259" spans="24:24">
      <c r="X259" s="810"/>
    </row>
    <row r="260" spans="24:24">
      <c r="X260" s="810"/>
    </row>
    <row r="261" spans="24:24">
      <c r="X261" s="810"/>
    </row>
    <row r="262" spans="24:24">
      <c r="X262" s="810"/>
    </row>
    <row r="263" spans="24:24">
      <c r="X263" s="810"/>
    </row>
    <row r="264" spans="24:24">
      <c r="X264" s="810"/>
    </row>
    <row r="265" spans="24:24">
      <c r="X265" s="810"/>
    </row>
    <row r="266" spans="24:24">
      <c r="X266" s="810"/>
    </row>
    <row r="267" spans="24:24">
      <c r="X267" s="810"/>
    </row>
    <row r="268" spans="24:24">
      <c r="X268" s="810"/>
    </row>
    <row r="269" spans="24:24">
      <c r="X269" s="810"/>
    </row>
    <row r="270" spans="24:24">
      <c r="X270" s="810"/>
    </row>
    <row r="271" spans="24:24">
      <c r="X271" s="810"/>
    </row>
    <row r="272" spans="24:24">
      <c r="X272" s="810"/>
    </row>
    <row r="273" spans="24:24">
      <c r="X273" s="810"/>
    </row>
    <row r="274" spans="24:24">
      <c r="X274" s="810"/>
    </row>
    <row r="275" spans="24:24">
      <c r="X275" s="810"/>
    </row>
    <row r="276" spans="24:24">
      <c r="X276" s="810"/>
    </row>
    <row r="277" spans="24:24">
      <c r="X277" s="810"/>
    </row>
    <row r="278" spans="24:24">
      <c r="X278" s="810"/>
    </row>
    <row r="279" spans="24:24">
      <c r="X279" s="810"/>
    </row>
    <row r="280" spans="24:24">
      <c r="X280" s="810"/>
    </row>
    <row r="281" spans="24:24">
      <c r="X281" s="810"/>
    </row>
    <row r="282" spans="24:24">
      <c r="X282" s="810"/>
    </row>
    <row r="283" spans="24:24">
      <c r="X283" s="810"/>
    </row>
    <row r="284" spans="24:24">
      <c r="X284" s="810"/>
    </row>
    <row r="285" spans="24:24">
      <c r="X285" s="810"/>
    </row>
    <row r="286" spans="24:24">
      <c r="X286" s="810"/>
    </row>
    <row r="287" spans="24:24">
      <c r="X287" s="810"/>
    </row>
    <row r="288" spans="24:24">
      <c r="X288" s="810"/>
    </row>
    <row r="289" spans="24:24">
      <c r="X289" s="810"/>
    </row>
    <row r="290" spans="24:24">
      <c r="X290" s="810"/>
    </row>
    <row r="291" spans="24:24">
      <c r="X291" s="810"/>
    </row>
    <row r="292" spans="24:24">
      <c r="X292" s="810"/>
    </row>
    <row r="293" spans="24:24">
      <c r="X293" s="810"/>
    </row>
    <row r="294" spans="24:24">
      <c r="X294" s="810"/>
    </row>
    <row r="295" spans="24:24">
      <c r="X295" s="810"/>
    </row>
    <row r="296" spans="24:24">
      <c r="X296" s="810"/>
    </row>
    <row r="297" spans="24:24">
      <c r="X297" s="810"/>
    </row>
    <row r="298" spans="24:24">
      <c r="X298" s="810"/>
    </row>
    <row r="299" spans="24:24">
      <c r="X299" s="810"/>
    </row>
    <row r="300" spans="24:24">
      <c r="X300" s="810"/>
    </row>
    <row r="301" spans="24:24">
      <c r="X301" s="810"/>
    </row>
    <row r="302" spans="24:24">
      <c r="X302" s="810"/>
    </row>
    <row r="303" spans="24:24">
      <c r="X303" s="810"/>
    </row>
    <row r="304" spans="24:24">
      <c r="X304" s="810"/>
    </row>
    <row r="305" spans="24:24">
      <c r="X305" s="810"/>
    </row>
    <row r="306" spans="24:24">
      <c r="X306" s="810"/>
    </row>
    <row r="307" spans="24:24">
      <c r="X307" s="810"/>
    </row>
    <row r="308" spans="24:24">
      <c r="X308" s="810"/>
    </row>
    <row r="309" spans="24:24">
      <c r="X309" s="810"/>
    </row>
    <row r="310" spans="24:24">
      <c r="X310" s="810"/>
    </row>
    <row r="311" spans="24:24">
      <c r="X311" s="810"/>
    </row>
    <row r="312" spans="24:24">
      <c r="X312" s="810"/>
    </row>
    <row r="313" spans="24:24">
      <c r="X313" s="810"/>
    </row>
    <row r="314" spans="24:24">
      <c r="X314" s="810"/>
    </row>
    <row r="315" spans="24:24">
      <c r="X315" s="810"/>
    </row>
    <row r="316" spans="24:24">
      <c r="X316" s="810"/>
    </row>
    <row r="317" spans="24:24">
      <c r="X317" s="810"/>
    </row>
    <row r="318" spans="24:24">
      <c r="X318" s="810"/>
    </row>
    <row r="319" spans="24:24">
      <c r="X319" s="810"/>
    </row>
    <row r="320" spans="24:24">
      <c r="X320" s="810"/>
    </row>
    <row r="321" spans="24:24">
      <c r="X321" s="810"/>
    </row>
    <row r="322" spans="24:24">
      <c r="X322" s="810"/>
    </row>
    <row r="323" spans="24:24">
      <c r="X323" s="810"/>
    </row>
    <row r="324" spans="24:24">
      <c r="X324" s="810"/>
    </row>
    <row r="325" spans="24:24">
      <c r="X325" s="810"/>
    </row>
    <row r="326" spans="24:24">
      <c r="X326" s="810"/>
    </row>
    <row r="327" spans="24:24">
      <c r="X327" s="810"/>
    </row>
    <row r="328" spans="24:24">
      <c r="X328" s="810"/>
    </row>
    <row r="329" spans="24:24">
      <c r="X329" s="810"/>
    </row>
    <row r="330" spans="24:24">
      <c r="X330" s="810"/>
    </row>
    <row r="331" spans="24:24">
      <c r="X331" s="810"/>
    </row>
    <row r="332" spans="24:24">
      <c r="X332" s="810"/>
    </row>
    <row r="333" spans="24:24">
      <c r="X333" s="810"/>
    </row>
    <row r="334" spans="24:24">
      <c r="X334" s="810"/>
    </row>
    <row r="335" spans="24:24">
      <c r="X335" s="810"/>
    </row>
    <row r="336" spans="24:24">
      <c r="X336" s="810"/>
    </row>
    <row r="337" spans="24:24">
      <c r="X337" s="810"/>
    </row>
    <row r="338" spans="24:24">
      <c r="X338" s="810"/>
    </row>
    <row r="339" spans="24:24">
      <c r="X339" s="810"/>
    </row>
    <row r="340" spans="24:24">
      <c r="X340" s="810"/>
    </row>
    <row r="341" spans="24:24">
      <c r="X341" s="810"/>
    </row>
    <row r="342" spans="24:24">
      <c r="X342" s="810"/>
    </row>
    <row r="343" spans="24:24">
      <c r="X343" s="810"/>
    </row>
    <row r="344" spans="24:24">
      <c r="X344" s="810"/>
    </row>
    <row r="345" spans="24:24">
      <c r="X345" s="810"/>
    </row>
    <row r="346" spans="24:24">
      <c r="X346" s="810"/>
    </row>
    <row r="347" spans="24:24">
      <c r="X347" s="810"/>
    </row>
    <row r="348" spans="24:24">
      <c r="X348" s="810"/>
    </row>
    <row r="349" spans="24:24">
      <c r="X349" s="810"/>
    </row>
    <row r="350" spans="24:24">
      <c r="X350" s="810"/>
    </row>
    <row r="351" spans="24:24">
      <c r="X351" s="810"/>
    </row>
    <row r="352" spans="24:24">
      <c r="X352" s="810"/>
    </row>
    <row r="353" spans="24:24">
      <c r="X353" s="810"/>
    </row>
    <row r="354" spans="24:24">
      <c r="X354" s="810"/>
    </row>
    <row r="355" spans="24:24">
      <c r="X355" s="810"/>
    </row>
    <row r="356" spans="24:24">
      <c r="X356" s="810"/>
    </row>
    <row r="357" spans="24:24">
      <c r="X357" s="810"/>
    </row>
    <row r="358" spans="24:24">
      <c r="X358" s="810"/>
    </row>
    <row r="359" spans="24:24">
      <c r="X359" s="810"/>
    </row>
    <row r="360" spans="24:24">
      <c r="X360" s="810"/>
    </row>
    <row r="361" spans="24:24">
      <c r="X361" s="810"/>
    </row>
    <row r="362" spans="24:24">
      <c r="X362" s="810"/>
    </row>
    <row r="363" spans="24:24">
      <c r="X363" s="810"/>
    </row>
    <row r="364" spans="24:24">
      <c r="X364" s="810"/>
    </row>
    <row r="365" spans="24:24">
      <c r="X365" s="810"/>
    </row>
    <row r="366" spans="24:24">
      <c r="X366" s="810"/>
    </row>
    <row r="367" spans="24:24">
      <c r="X367" s="810"/>
    </row>
    <row r="368" spans="24:24">
      <c r="X368" s="810"/>
    </row>
    <row r="369" spans="24:24">
      <c r="X369" s="810"/>
    </row>
    <row r="370" spans="24:24">
      <c r="X370" s="810"/>
    </row>
    <row r="371" spans="24:24">
      <c r="X371" s="810"/>
    </row>
    <row r="372" spans="24:24">
      <c r="X372" s="810"/>
    </row>
    <row r="373" spans="24:24">
      <c r="X373" s="810"/>
    </row>
    <row r="374" spans="24:24">
      <c r="X374" s="810"/>
    </row>
    <row r="375" spans="24:24">
      <c r="X375" s="810"/>
    </row>
    <row r="376" spans="24:24">
      <c r="X376" s="810"/>
    </row>
    <row r="377" spans="24:24">
      <c r="X377" s="810"/>
    </row>
    <row r="378" spans="24:24">
      <c r="X378" s="810"/>
    </row>
    <row r="379" spans="24:24">
      <c r="X379" s="810"/>
    </row>
    <row r="380" spans="24:24">
      <c r="X380" s="810"/>
    </row>
    <row r="451" spans="24:24">
      <c r="X451" s="810"/>
    </row>
    <row r="452" spans="24:24">
      <c r="X452" s="810"/>
    </row>
    <row r="453" spans="24:24">
      <c r="X453" s="810"/>
    </row>
    <row r="454" spans="24:24">
      <c r="X454" s="810"/>
    </row>
  </sheetData>
  <autoFilter xmlns:etc="http://www.wps.cn/officeDocument/2017/etCustomData" ref="A1:AA186" etc:filterBottomFollowUsedRange="0">
    <extLst/>
  </autoFilter>
  <mergeCells count="25">
    <mergeCell ref="A1:W1"/>
    <mergeCell ref="A2:W2"/>
    <mergeCell ref="C6:M6"/>
    <mergeCell ref="N6:V6"/>
    <mergeCell ref="B177:W177"/>
    <mergeCell ref="C178:D178"/>
    <mergeCell ref="N178:O178"/>
    <mergeCell ref="C183:D183"/>
    <mergeCell ref="N183:O183"/>
    <mergeCell ref="C184:D184"/>
    <mergeCell ref="N184:O184"/>
    <mergeCell ref="A6:A7"/>
    <mergeCell ref="A8:A35"/>
    <mergeCell ref="A36:A41"/>
    <mergeCell ref="A42:A43"/>
    <mergeCell ref="A49:A50"/>
    <mergeCell ref="A58:A77"/>
    <mergeCell ref="A78:A82"/>
    <mergeCell ref="A83:A85"/>
    <mergeCell ref="A91:A92"/>
    <mergeCell ref="A93:A96"/>
    <mergeCell ref="A97:A104"/>
    <mergeCell ref="A107:A173"/>
    <mergeCell ref="B6:B7"/>
    <mergeCell ref="W6:W7"/>
  </mergeCells>
  <pageMargins left="0.375" right="0.7" top="0.630555555555556" bottom="0.75" header="0.3" footer="0.3"/>
  <pageSetup paperSize="5" scale="5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S170"/>
  <sheetViews>
    <sheetView tabSelected="1" view="pageLayout" zoomScale="80" zoomScaleNormal="100" topLeftCell="A159" workbookViewId="0">
      <selection activeCell="B107" sqref="B107"/>
    </sheetView>
  </sheetViews>
  <sheetFormatPr defaultColWidth="8.72727272727273" defaultRowHeight="14.5"/>
  <cols>
    <col min="1" max="1" width="4.54545454545455" customWidth="1"/>
    <col min="2" max="2" width="20.3545454545455" customWidth="1"/>
    <col min="3" max="3" width="10.8" customWidth="1"/>
    <col min="4" max="4" width="13.7545454545455" style="558" customWidth="1"/>
    <col min="5" max="5" width="12.7272727272727" customWidth="1"/>
    <col min="6" max="6" width="12.0454545454545" customWidth="1"/>
    <col min="7" max="7" width="11.5090909090909" customWidth="1"/>
    <col min="8" max="8" width="11.0636363636364" customWidth="1"/>
    <col min="9" max="9" width="10.6363636363636" customWidth="1"/>
    <col min="10" max="10" width="11.7272727272727" customWidth="1"/>
    <col min="11" max="11" width="10.3636363636364" customWidth="1"/>
    <col min="12" max="12" width="11.4272727272727" customWidth="1"/>
    <col min="13" max="13" width="13.0272727272727" customWidth="1"/>
    <col min="14" max="14" width="13.2727272727273"/>
    <col min="15" max="15" width="12.7272727272727"/>
    <col min="16" max="16" width="12.8181818181818"/>
    <col min="17" max="17" width="13.2727272727273"/>
    <col min="18" max="19" width="11.7272727272727"/>
  </cols>
  <sheetData>
    <row r="2" spans="1:18">
      <c r="A2" s="559" t="s">
        <v>410</v>
      </c>
      <c r="B2" s="559"/>
      <c r="C2" s="559"/>
      <c r="D2" s="560"/>
      <c r="E2" s="559"/>
      <c r="F2" s="559"/>
      <c r="G2" s="559"/>
      <c r="H2" s="559"/>
      <c r="I2" s="559"/>
      <c r="J2" s="559"/>
      <c r="K2" s="559"/>
      <c r="L2" s="559"/>
      <c r="M2" s="559"/>
    </row>
    <row r="3" spans="1:18">
      <c r="A3" s="561" t="s">
        <v>411</v>
      </c>
      <c r="B3" s="561"/>
      <c r="C3" s="561"/>
      <c r="D3" s="562"/>
      <c r="E3" s="561"/>
      <c r="F3" s="561"/>
      <c r="G3" s="561"/>
      <c r="H3" s="561"/>
      <c r="I3" s="561"/>
      <c r="J3" s="561"/>
      <c r="K3" s="561"/>
      <c r="L3" s="561"/>
      <c r="M3" s="561"/>
    </row>
    <row r="4" ht="15.25" spans="1:18">
      <c r="A4" s="563" t="s">
        <v>412</v>
      </c>
      <c r="B4" s="563"/>
      <c r="C4" s="564" t="s">
        <v>413</v>
      </c>
      <c r="D4" s="562"/>
      <c r="F4" s="564"/>
      <c r="M4" s="565"/>
    </row>
    <row r="5" spans="1:18">
      <c r="A5" s="566" t="s">
        <v>414</v>
      </c>
      <c r="B5" s="567" t="s">
        <v>415</v>
      </c>
      <c r="C5" s="568" t="s">
        <v>207</v>
      </c>
      <c r="D5" s="569" t="s">
        <v>416</v>
      </c>
      <c r="E5" s="570" t="s">
        <v>417</v>
      </c>
      <c r="F5" s="570"/>
      <c r="G5" s="567"/>
      <c r="H5" s="567"/>
      <c r="I5" s="567"/>
      <c r="J5" s="570" t="s">
        <v>418</v>
      </c>
      <c r="K5" s="570"/>
      <c r="L5" s="569" t="s">
        <v>419</v>
      </c>
      <c r="M5" s="571" t="s">
        <v>420</v>
      </c>
    </row>
    <row r="6" spans="1:18">
      <c r="A6" s="572"/>
      <c r="B6" s="573"/>
      <c r="C6" s="574"/>
      <c r="D6" s="575"/>
      <c r="E6" s="576" t="s">
        <v>421</v>
      </c>
      <c r="F6" s="577" t="s">
        <v>207</v>
      </c>
      <c r="G6" s="578" t="s">
        <v>422</v>
      </c>
      <c r="H6" s="578" t="s">
        <v>423</v>
      </c>
      <c r="I6" s="578" t="s">
        <v>111</v>
      </c>
      <c r="J6" s="576"/>
      <c r="K6" s="576"/>
      <c r="L6" s="575"/>
      <c r="M6" s="579"/>
    </row>
    <row r="7" spans="1:18">
      <c r="A7" s="580"/>
      <c r="B7" s="578"/>
      <c r="C7" s="574"/>
      <c r="D7" s="575"/>
      <c r="E7" s="577"/>
      <c r="F7" s="575"/>
      <c r="G7" s="574"/>
      <c r="H7" s="574"/>
      <c r="I7" s="574"/>
      <c r="J7" s="577" t="s">
        <v>424</v>
      </c>
      <c r="K7" s="577" t="s">
        <v>423</v>
      </c>
      <c r="L7" s="575"/>
      <c r="M7" s="579"/>
    </row>
    <row r="8" ht="16" customHeight="1" spans="1:18">
      <c r="A8" s="93">
        <v>1</v>
      </c>
      <c r="B8" s="581" t="s">
        <v>425</v>
      </c>
      <c r="C8" s="1042" t="str">
        <f>C51</f>
        <v>10-02-2023</v>
      </c>
      <c r="D8" s="583">
        <v>5900000</v>
      </c>
      <c r="E8" s="584">
        <v>4750000</v>
      </c>
      <c r="F8" s="585"/>
      <c r="G8" s="586"/>
      <c r="H8" s="586"/>
      <c r="I8" s="586">
        <f>G8+H8</f>
        <v>0</v>
      </c>
      <c r="J8" s="584">
        <f>SUM(E8-G8)</f>
        <v>4750000</v>
      </c>
      <c r="K8" s="584"/>
      <c r="L8" s="587"/>
      <c r="M8" s="588"/>
    </row>
    <row r="9" ht="16" customHeight="1" spans="1:18">
      <c r="A9" s="93">
        <v>2</v>
      </c>
      <c r="B9" s="589" t="s">
        <v>426</v>
      </c>
      <c r="C9" s="582"/>
      <c r="D9" s="583">
        <v>44000000</v>
      </c>
      <c r="E9" s="584">
        <v>39400000</v>
      </c>
      <c r="F9" s="585"/>
      <c r="G9" s="586"/>
      <c r="H9" s="586"/>
      <c r="I9" s="586">
        <f t="shared" ref="I9:I19" si="0">G9+H9</f>
        <v>0</v>
      </c>
      <c r="J9" s="584">
        <f t="shared" ref="J9:J36" si="1">SUM(E9-G9)</f>
        <v>39400000</v>
      </c>
      <c r="K9" s="584"/>
      <c r="L9" s="590"/>
      <c r="M9" s="591"/>
    </row>
    <row r="10" ht="16" customHeight="1" spans="1:18">
      <c r="A10" s="93">
        <v>3</v>
      </c>
      <c r="B10" s="589" t="s">
        <v>427</v>
      </c>
      <c r="C10" s="582"/>
      <c r="D10" s="583">
        <v>15000000</v>
      </c>
      <c r="E10" s="584">
        <v>12150000</v>
      </c>
      <c r="F10" s="1043" t="s">
        <v>335</v>
      </c>
      <c r="G10" s="586">
        <v>100000</v>
      </c>
      <c r="H10" s="586"/>
      <c r="I10" s="586">
        <f t="shared" si="0"/>
        <v>100000</v>
      </c>
      <c r="J10" s="584">
        <f t="shared" si="1"/>
        <v>12050000</v>
      </c>
      <c r="K10" s="584"/>
      <c r="L10" s="587"/>
      <c r="M10" s="588"/>
    </row>
    <row r="11" ht="16" customHeight="1" spans="1:18">
      <c r="A11" s="93">
        <f t="shared" ref="A9:A19" si="2">A10+1</f>
        <v>4</v>
      </c>
      <c r="B11" s="581" t="s">
        <v>428</v>
      </c>
      <c r="C11" s="592"/>
      <c r="D11" s="593">
        <v>5000000</v>
      </c>
      <c r="E11" s="594">
        <v>1350000</v>
      </c>
      <c r="F11" s="595"/>
      <c r="G11" s="596"/>
      <c r="H11" s="596"/>
      <c r="I11" s="586">
        <f t="shared" si="0"/>
        <v>0</v>
      </c>
      <c r="J11" s="594">
        <f t="shared" si="1"/>
        <v>1350000</v>
      </c>
      <c r="K11" s="594"/>
      <c r="L11" s="587"/>
      <c r="M11" s="588"/>
    </row>
    <row r="12" ht="16" customHeight="1" spans="1:18">
      <c r="A12" s="93">
        <f t="shared" si="2"/>
        <v>5</v>
      </c>
      <c r="B12" s="589" t="s">
        <v>429</v>
      </c>
      <c r="C12" s="582"/>
      <c r="D12" s="583">
        <v>1159840</v>
      </c>
      <c r="E12" s="584">
        <v>709840</v>
      </c>
      <c r="F12" s="585"/>
      <c r="G12" s="586"/>
      <c r="H12" s="586"/>
      <c r="I12" s="586">
        <f t="shared" si="0"/>
        <v>0</v>
      </c>
      <c r="J12" s="584">
        <f t="shared" si="1"/>
        <v>709840</v>
      </c>
      <c r="K12" s="584"/>
      <c r="L12" s="587"/>
      <c r="M12" s="588"/>
    </row>
    <row r="13" ht="16" customHeight="1" spans="1:18">
      <c r="A13" s="93">
        <f t="shared" si="2"/>
        <v>6</v>
      </c>
      <c r="B13" s="597" t="s">
        <v>352</v>
      </c>
      <c r="C13" s="582"/>
      <c r="D13" s="598">
        <v>5000000</v>
      </c>
      <c r="E13" s="584">
        <v>115832</v>
      </c>
      <c r="F13" s="1043" t="s">
        <v>335</v>
      </c>
      <c r="G13" s="586">
        <v>115832</v>
      </c>
      <c r="H13" s="586">
        <v>2896</v>
      </c>
      <c r="I13" s="586">
        <f t="shared" si="0"/>
        <v>118728</v>
      </c>
      <c r="J13" s="584">
        <f t="shared" si="1"/>
        <v>0</v>
      </c>
      <c r="K13" s="584">
        <f>SUM(J13*2.5%)</f>
        <v>0</v>
      </c>
      <c r="L13" s="584"/>
      <c r="M13" s="599"/>
      <c r="N13" s="600">
        <f>250000-H13</f>
        <v>247104</v>
      </c>
      <c r="O13" s="600">
        <f>100000-H13</f>
        <v>97104</v>
      </c>
      <c r="P13" s="600">
        <f>250000-H13</f>
        <v>247104</v>
      </c>
      <c r="Q13">
        <f>H14+K14</f>
        <v>96552.5</v>
      </c>
      <c r="R13">
        <f>150000-H13</f>
        <v>147104</v>
      </c>
    </row>
    <row r="14" ht="16" customHeight="1" spans="1:18">
      <c r="A14" s="93">
        <f t="shared" si="2"/>
        <v>7</v>
      </c>
      <c r="B14" s="601" t="s">
        <v>430</v>
      </c>
      <c r="C14" s="592"/>
      <c r="D14" s="583">
        <v>3569061</v>
      </c>
      <c r="E14" s="594">
        <v>1981288</v>
      </c>
      <c r="F14" s="1044" t="s">
        <v>335</v>
      </c>
      <c r="G14" s="596">
        <v>100468</v>
      </c>
      <c r="H14" s="596">
        <v>49532</v>
      </c>
      <c r="I14" s="586">
        <f t="shared" si="0"/>
        <v>150000</v>
      </c>
      <c r="J14" s="594">
        <f t="shared" si="1"/>
        <v>1880820</v>
      </c>
      <c r="K14" s="584">
        <f t="shared" ref="K13:K19" si="3">SUM(J14*2.5%)</f>
        <v>47020.5</v>
      </c>
      <c r="L14" s="602"/>
      <c r="M14" s="603"/>
      <c r="N14" s="600">
        <f>150000-H14</f>
        <v>100468</v>
      </c>
      <c r="O14" s="604"/>
      <c r="P14">
        <f>K14+L14</f>
        <v>47020.5</v>
      </c>
      <c r="Q14">
        <f>200000-H14</f>
        <v>150468</v>
      </c>
    </row>
    <row r="15" ht="16" customHeight="1" spans="1:18">
      <c r="A15" s="93">
        <f t="shared" si="2"/>
        <v>8</v>
      </c>
      <c r="B15" s="605" t="s">
        <v>431</v>
      </c>
      <c r="C15" s="582"/>
      <c r="D15" s="598">
        <v>1088597</v>
      </c>
      <c r="E15" s="584">
        <v>735692</v>
      </c>
      <c r="F15" s="1043" t="s">
        <v>335</v>
      </c>
      <c r="G15" s="586">
        <v>381608</v>
      </c>
      <c r="H15" s="586">
        <v>18392</v>
      </c>
      <c r="I15" s="586">
        <f t="shared" si="0"/>
        <v>400000</v>
      </c>
      <c r="J15" s="584">
        <f t="shared" si="1"/>
        <v>354084</v>
      </c>
      <c r="K15" s="584">
        <f t="shared" si="3"/>
        <v>8852.1</v>
      </c>
      <c r="L15" s="606"/>
      <c r="M15" s="607"/>
      <c r="N15" s="604">
        <f>400000-H15</f>
        <v>381608</v>
      </c>
      <c r="O15" s="600"/>
      <c r="P15" s="600">
        <f>100000-P14</f>
        <v>52979.5</v>
      </c>
      <c r="Q15">
        <f>P15+G14</f>
        <v>153447.5</v>
      </c>
    </row>
    <row r="16" ht="16" customHeight="1" spans="1:18">
      <c r="A16" s="93">
        <f t="shared" si="2"/>
        <v>9</v>
      </c>
      <c r="B16" s="608" t="s">
        <v>432</v>
      </c>
      <c r="C16" s="592"/>
      <c r="D16" s="583">
        <v>967246</v>
      </c>
      <c r="E16" s="594">
        <v>892095</v>
      </c>
      <c r="F16" s="1044" t="s">
        <v>335</v>
      </c>
      <c r="G16" s="596">
        <v>2698</v>
      </c>
      <c r="H16" s="596">
        <v>22302</v>
      </c>
      <c r="I16" s="586">
        <f t="shared" si="0"/>
        <v>25000</v>
      </c>
      <c r="J16" s="594">
        <f t="shared" si="1"/>
        <v>889397</v>
      </c>
      <c r="K16" s="584">
        <f t="shared" si="3"/>
        <v>22234.925</v>
      </c>
      <c r="L16" s="594"/>
      <c r="M16" s="609"/>
      <c r="N16" s="600">
        <f>25000-H16</f>
        <v>2698</v>
      </c>
      <c r="O16" s="600">
        <f>H16-K16</f>
        <v>67.0749999999971</v>
      </c>
      <c r="P16" s="600">
        <f>L16-O16</f>
        <v>-67.0749999999971</v>
      </c>
      <c r="Q16" s="610">
        <f>K16+L16</f>
        <v>22234.925</v>
      </c>
    </row>
    <row r="17" ht="16" customHeight="1" spans="1:18">
      <c r="A17" s="93">
        <f t="shared" si="2"/>
        <v>10</v>
      </c>
      <c r="B17" s="589" t="s">
        <v>433</v>
      </c>
      <c r="C17" s="582"/>
      <c r="D17" s="583">
        <v>722590</v>
      </c>
      <c r="E17" s="584">
        <v>479931</v>
      </c>
      <c r="F17" s="585"/>
      <c r="G17" s="586"/>
      <c r="H17" s="586"/>
      <c r="I17" s="586">
        <f t="shared" si="0"/>
        <v>0</v>
      </c>
      <c r="J17" s="584">
        <f t="shared" si="1"/>
        <v>479931</v>
      </c>
      <c r="K17" s="594">
        <f t="shared" si="3"/>
        <v>11998.275</v>
      </c>
      <c r="L17" s="602">
        <v>107982</v>
      </c>
      <c r="M17" s="611" t="s">
        <v>434</v>
      </c>
      <c r="N17" s="604"/>
      <c r="O17" s="600">
        <f>L16-O16</f>
        <v>-67.0749999999971</v>
      </c>
      <c r="Q17">
        <f>25000-Q16</f>
        <v>2765.075</v>
      </c>
    </row>
    <row r="18" ht="16" customHeight="1" spans="1:18">
      <c r="A18" s="93">
        <f t="shared" si="2"/>
        <v>11</v>
      </c>
      <c r="B18" s="608" t="s">
        <v>435</v>
      </c>
      <c r="C18" s="582"/>
      <c r="D18" s="583">
        <v>1784893</v>
      </c>
      <c r="E18" s="584">
        <v>1461453</v>
      </c>
      <c r="F18" s="585"/>
      <c r="G18" s="586"/>
      <c r="H18" s="586"/>
      <c r="I18" s="586">
        <f t="shared" si="0"/>
        <v>0</v>
      </c>
      <c r="J18" s="584">
        <f t="shared" si="1"/>
        <v>1461453</v>
      </c>
      <c r="K18" s="584">
        <f t="shared" si="3"/>
        <v>36536.325</v>
      </c>
      <c r="L18" s="602">
        <v>124608</v>
      </c>
      <c r="M18" s="612" t="s">
        <v>434</v>
      </c>
      <c r="N18" s="600"/>
      <c r="O18" s="600"/>
    </row>
    <row r="19" ht="16" customHeight="1" spans="1:18">
      <c r="A19" s="93">
        <f t="shared" si="2"/>
        <v>12</v>
      </c>
      <c r="B19" s="608" t="s">
        <v>436</v>
      </c>
      <c r="C19" s="582"/>
      <c r="D19" s="583">
        <v>3611701</v>
      </c>
      <c r="E19" s="584">
        <v>3560937</v>
      </c>
      <c r="F19" s="585"/>
      <c r="G19" s="586"/>
      <c r="H19" s="596"/>
      <c r="I19" s="586">
        <f t="shared" si="0"/>
        <v>0</v>
      </c>
      <c r="J19" s="584">
        <f t="shared" si="1"/>
        <v>3560937</v>
      </c>
      <c r="K19" s="584">
        <f t="shared" si="3"/>
        <v>89023.425</v>
      </c>
      <c r="L19" s="587">
        <v>245115</v>
      </c>
      <c r="M19" s="588"/>
      <c r="N19" s="600">
        <f>H19-K19</f>
        <v>-89023.425</v>
      </c>
      <c r="O19" s="600">
        <f>L19-N19</f>
        <v>334138.425</v>
      </c>
      <c r="P19" s="600"/>
    </row>
    <row r="20" ht="16" customHeight="1" spans="1:18">
      <c r="A20" s="93">
        <f t="shared" ref="A20:A39" si="4">A19+1</f>
        <v>13</v>
      </c>
      <c r="B20" s="608" t="s">
        <v>437</v>
      </c>
      <c r="C20" s="592"/>
      <c r="D20" s="583">
        <v>1755363</v>
      </c>
      <c r="E20" s="594">
        <v>1263615</v>
      </c>
      <c r="F20" s="595"/>
      <c r="G20" s="596"/>
      <c r="H20" s="596"/>
      <c r="I20" s="586">
        <f t="shared" ref="I20:I36" si="5">G20+H20</f>
        <v>0</v>
      </c>
      <c r="J20" s="594">
        <f t="shared" si="1"/>
        <v>1263615</v>
      </c>
      <c r="K20" s="584">
        <f t="shared" ref="K20:K30" si="6">SUM(J20*2.5%)</f>
        <v>31590.375</v>
      </c>
      <c r="L20" s="613">
        <v>315900</v>
      </c>
      <c r="M20" s="588"/>
      <c r="N20" s="604">
        <f>L20+K20</f>
        <v>347490.375</v>
      </c>
      <c r="O20" s="600"/>
    </row>
    <row r="21" ht="16" customHeight="1" spans="1:18">
      <c r="A21" s="93">
        <f t="shared" si="4"/>
        <v>14</v>
      </c>
      <c r="B21" s="614" t="s">
        <v>438</v>
      </c>
      <c r="C21" s="582"/>
      <c r="D21" s="583">
        <v>1755480</v>
      </c>
      <c r="E21" s="584">
        <v>1407699</v>
      </c>
      <c r="F21" s="585"/>
      <c r="G21" s="586"/>
      <c r="H21" s="586"/>
      <c r="I21" s="586">
        <f t="shared" si="5"/>
        <v>0</v>
      </c>
      <c r="J21" s="584">
        <f t="shared" si="1"/>
        <v>1407699</v>
      </c>
      <c r="K21" s="584">
        <f t="shared" si="6"/>
        <v>35192.475</v>
      </c>
      <c r="L21" s="587">
        <v>146344</v>
      </c>
      <c r="M21" s="588"/>
      <c r="N21" s="615">
        <f>L21+K21</f>
        <v>181536.475</v>
      </c>
      <c r="O21" s="600">
        <f>100000-K21</f>
        <v>64807.525</v>
      </c>
      <c r="P21" s="610">
        <f>L21-O21</f>
        <v>81536.475</v>
      </c>
    </row>
    <row r="22" ht="16" customHeight="1" spans="1:18">
      <c r="A22" s="93">
        <f t="shared" si="4"/>
        <v>15</v>
      </c>
      <c r="B22" s="614" t="s">
        <v>439</v>
      </c>
      <c r="C22" s="592"/>
      <c r="D22" s="583">
        <v>1493970</v>
      </c>
      <c r="E22" s="594">
        <v>1315178</v>
      </c>
      <c r="F22" s="595"/>
      <c r="G22" s="596"/>
      <c r="H22" s="596"/>
      <c r="I22" s="586">
        <f t="shared" si="5"/>
        <v>0</v>
      </c>
      <c r="J22" s="594">
        <f t="shared" si="1"/>
        <v>1315178</v>
      </c>
      <c r="K22" s="594"/>
      <c r="L22" s="587"/>
      <c r="M22" s="616" t="s">
        <v>440</v>
      </c>
      <c r="O22">
        <f>L21-O21</f>
        <v>81536.475</v>
      </c>
    </row>
    <row r="23" ht="16" customHeight="1" spans="1:18">
      <c r="A23" s="93">
        <f t="shared" si="4"/>
        <v>16</v>
      </c>
      <c r="B23" s="614" t="s">
        <v>441</v>
      </c>
      <c r="C23" s="1042" t="s">
        <v>442</v>
      </c>
      <c r="D23" s="583">
        <v>2868402</v>
      </c>
      <c r="E23" s="584">
        <v>0</v>
      </c>
      <c r="F23" s="585"/>
      <c r="G23" s="586"/>
      <c r="H23" s="586"/>
      <c r="I23" s="586">
        <f t="shared" si="5"/>
        <v>0</v>
      </c>
      <c r="J23" s="584">
        <f t="shared" si="1"/>
        <v>0</v>
      </c>
      <c r="K23" s="584">
        <f t="shared" si="6"/>
        <v>0</v>
      </c>
      <c r="L23" s="587">
        <v>264256</v>
      </c>
      <c r="M23" s="588"/>
    </row>
    <row r="24" ht="16" customHeight="1" spans="1:18">
      <c r="A24" s="93">
        <f t="shared" si="4"/>
        <v>17</v>
      </c>
      <c r="B24" s="614" t="s">
        <v>443</v>
      </c>
      <c r="C24" s="592"/>
      <c r="D24" s="583">
        <v>1876372</v>
      </c>
      <c r="E24" s="594">
        <v>218814</v>
      </c>
      <c r="F24" s="595"/>
      <c r="G24" s="596"/>
      <c r="H24" s="596"/>
      <c r="I24" s="586">
        <f t="shared" si="5"/>
        <v>0</v>
      </c>
      <c r="J24" s="594">
        <f t="shared" si="1"/>
        <v>218814</v>
      </c>
      <c r="K24" s="584">
        <f t="shared" si="6"/>
        <v>5470.35</v>
      </c>
      <c r="L24" s="613"/>
      <c r="M24" s="588"/>
      <c r="N24" s="604"/>
      <c r="O24" s="600">
        <f>K24+L24</f>
        <v>5470.35</v>
      </c>
      <c r="P24" s="600">
        <f>100000-H24</f>
        <v>100000</v>
      </c>
    </row>
    <row r="25" ht="16" customHeight="1" spans="1:18">
      <c r="A25" s="93">
        <f t="shared" si="4"/>
        <v>18</v>
      </c>
      <c r="B25" s="614" t="s">
        <v>444</v>
      </c>
      <c r="C25" s="1042" t="s">
        <v>445</v>
      </c>
      <c r="D25" s="583">
        <v>2000000</v>
      </c>
      <c r="E25" s="584">
        <v>1849856</v>
      </c>
      <c r="F25" s="585"/>
      <c r="G25" s="586"/>
      <c r="H25" s="596"/>
      <c r="I25" s="586">
        <f t="shared" si="5"/>
        <v>0</v>
      </c>
      <c r="J25" s="584">
        <f t="shared" si="1"/>
        <v>1849856</v>
      </c>
      <c r="K25" s="584">
        <f t="shared" si="6"/>
        <v>46246.4</v>
      </c>
      <c r="L25" s="587">
        <v>184984</v>
      </c>
      <c r="M25" s="588"/>
      <c r="N25" s="600">
        <f>L25+K25</f>
        <v>231230.4</v>
      </c>
      <c r="O25" s="600"/>
    </row>
    <row r="26" ht="16" customHeight="1" spans="1:18">
      <c r="A26" s="93">
        <f t="shared" si="4"/>
        <v>19</v>
      </c>
      <c r="B26" s="614" t="s">
        <v>446</v>
      </c>
      <c r="C26" s="1042" t="s">
        <v>447</v>
      </c>
      <c r="D26" s="583">
        <v>4568513</v>
      </c>
      <c r="E26" s="584">
        <v>4394990</v>
      </c>
      <c r="F26" s="585"/>
      <c r="G26" s="586"/>
      <c r="H26" s="586"/>
      <c r="I26" s="586">
        <f t="shared" si="5"/>
        <v>0</v>
      </c>
      <c r="J26" s="584">
        <f t="shared" si="1"/>
        <v>4394990</v>
      </c>
      <c r="K26" s="584">
        <f t="shared" si="6"/>
        <v>109874.75</v>
      </c>
      <c r="L26" s="587">
        <v>828375</v>
      </c>
      <c r="M26" s="617"/>
      <c r="N26" s="604">
        <f>L26+K26</f>
        <v>938249.75</v>
      </c>
    </row>
    <row r="27" ht="16" customHeight="1" spans="1:18">
      <c r="A27" s="93">
        <f t="shared" si="4"/>
        <v>20</v>
      </c>
      <c r="B27" s="614" t="s">
        <v>345</v>
      </c>
      <c r="C27" s="1042" t="s">
        <v>448</v>
      </c>
      <c r="D27" s="583">
        <v>2381327</v>
      </c>
      <c r="E27" s="584">
        <v>1666412</v>
      </c>
      <c r="F27" s="1043" t="s">
        <v>335</v>
      </c>
      <c r="G27" s="586">
        <v>8340</v>
      </c>
      <c r="H27" s="586">
        <v>41660</v>
      </c>
      <c r="I27" s="586">
        <f t="shared" si="5"/>
        <v>50000</v>
      </c>
      <c r="J27" s="584">
        <f t="shared" si="1"/>
        <v>1658072</v>
      </c>
      <c r="K27" s="584">
        <f t="shared" si="6"/>
        <v>41451.8</v>
      </c>
      <c r="L27" s="587"/>
      <c r="M27" s="588"/>
      <c r="N27" s="600"/>
      <c r="O27" s="600">
        <f>50000-H27</f>
        <v>8340</v>
      </c>
      <c r="P27">
        <f>100000-O27</f>
        <v>91660</v>
      </c>
      <c r="Q27">
        <f>100000-H27</f>
        <v>58340</v>
      </c>
    </row>
    <row r="28" ht="16" customHeight="1" spans="1:18">
      <c r="A28" s="93">
        <f t="shared" si="4"/>
        <v>21</v>
      </c>
      <c r="B28" s="614" t="s">
        <v>449</v>
      </c>
      <c r="C28" s="1042" t="s">
        <v>448</v>
      </c>
      <c r="D28" s="583">
        <v>5911040</v>
      </c>
      <c r="E28" s="584">
        <v>5908816</v>
      </c>
      <c r="F28" s="585"/>
      <c r="G28" s="586"/>
      <c r="H28" s="586"/>
      <c r="I28" s="586">
        <f t="shared" si="5"/>
        <v>0</v>
      </c>
      <c r="J28" s="584">
        <f t="shared" si="1"/>
        <v>5908816</v>
      </c>
      <c r="K28" s="584">
        <f t="shared" si="6"/>
        <v>147720.4</v>
      </c>
      <c r="L28" s="587">
        <v>656088</v>
      </c>
      <c r="M28" s="616"/>
      <c r="N28" s="600"/>
      <c r="O28" s="604">
        <f>H28-K28</f>
        <v>-147720.4</v>
      </c>
      <c r="P28">
        <f>150000-H28</f>
        <v>150000</v>
      </c>
      <c r="Q28">
        <f>L28-P28</f>
        <v>506088</v>
      </c>
      <c r="R28">
        <f>Q28-H28</f>
        <v>506088</v>
      </c>
    </row>
    <row r="29" ht="16" customHeight="1" spans="1:18">
      <c r="A29" s="93">
        <f t="shared" si="4"/>
        <v>22</v>
      </c>
      <c r="B29" s="614" t="s">
        <v>450</v>
      </c>
      <c r="C29" s="1042" t="s">
        <v>448</v>
      </c>
      <c r="D29" s="583">
        <v>2000000</v>
      </c>
      <c r="E29" s="584">
        <v>446201</v>
      </c>
      <c r="F29" s="585"/>
      <c r="G29" s="586"/>
      <c r="H29" s="586"/>
      <c r="I29" s="586">
        <f t="shared" si="5"/>
        <v>0</v>
      </c>
      <c r="J29" s="584">
        <f t="shared" si="1"/>
        <v>446201</v>
      </c>
      <c r="K29" s="584">
        <f t="shared" si="6"/>
        <v>11155.025</v>
      </c>
      <c r="L29" s="613">
        <v>22310</v>
      </c>
      <c r="M29" s="588"/>
      <c r="N29" s="604">
        <f>L29+K29</f>
        <v>33465.025</v>
      </c>
      <c r="O29" s="604">
        <f>L28-O28</f>
        <v>803808.4</v>
      </c>
      <c r="P29">
        <f>L29+K29</f>
        <v>33465.025</v>
      </c>
    </row>
    <row r="30" ht="16" customHeight="1" spans="1:18">
      <c r="A30" s="93">
        <f t="shared" si="4"/>
        <v>23</v>
      </c>
      <c r="B30" s="581" t="s">
        <v>451</v>
      </c>
      <c r="C30" s="1045" t="s">
        <v>448</v>
      </c>
      <c r="D30" s="583">
        <v>1202503</v>
      </c>
      <c r="E30" s="594">
        <v>713026</v>
      </c>
      <c r="F30" s="1044" t="s">
        <v>335</v>
      </c>
      <c r="G30" s="596">
        <v>50000</v>
      </c>
      <c r="H30" s="596"/>
      <c r="I30" s="586">
        <f t="shared" si="5"/>
        <v>50000</v>
      </c>
      <c r="J30" s="594">
        <f t="shared" si="1"/>
        <v>663026</v>
      </c>
      <c r="K30" s="584"/>
      <c r="L30" s="587"/>
      <c r="M30" s="616" t="s">
        <v>452</v>
      </c>
      <c r="P30">
        <f>50000-P29</f>
        <v>16534.975</v>
      </c>
    </row>
    <row r="31" ht="16" customHeight="1" spans="1:18">
      <c r="A31" s="93">
        <f t="shared" si="4"/>
        <v>24</v>
      </c>
      <c r="B31" s="614" t="s">
        <v>453</v>
      </c>
      <c r="C31" s="1042" t="s">
        <v>448</v>
      </c>
      <c r="D31" s="583">
        <v>22500000</v>
      </c>
      <c r="E31" s="584">
        <v>20000000</v>
      </c>
      <c r="F31" s="1043" t="s">
        <v>335</v>
      </c>
      <c r="G31" s="586"/>
      <c r="H31" s="618">
        <v>500000</v>
      </c>
      <c r="I31" s="586">
        <f t="shared" si="5"/>
        <v>500000</v>
      </c>
      <c r="J31" s="584">
        <f t="shared" si="1"/>
        <v>20000000</v>
      </c>
      <c r="K31" s="584">
        <f>SUM(J31*2.5%)</f>
        <v>500000</v>
      </c>
      <c r="L31" s="587"/>
      <c r="M31" s="588"/>
    </row>
    <row r="32" ht="16" customHeight="1" spans="1:18">
      <c r="A32" s="93">
        <f t="shared" si="4"/>
        <v>25</v>
      </c>
      <c r="B32" s="614" t="s">
        <v>454</v>
      </c>
      <c r="C32" s="1042" t="s">
        <v>455</v>
      </c>
      <c r="D32" s="583">
        <v>1496052</v>
      </c>
      <c r="E32" s="584">
        <v>0</v>
      </c>
      <c r="F32" s="585"/>
      <c r="G32" s="586"/>
      <c r="H32" s="586"/>
      <c r="I32" s="586">
        <f t="shared" si="5"/>
        <v>0</v>
      </c>
      <c r="J32" s="584">
        <f t="shared" si="1"/>
        <v>0</v>
      </c>
      <c r="K32" s="584">
        <f>SUM(J32*2.5%)</f>
        <v>0</v>
      </c>
      <c r="L32" s="587"/>
      <c r="M32" s="588"/>
      <c r="N32" s="600"/>
      <c r="O32">
        <f>L32+K32</f>
        <v>0</v>
      </c>
      <c r="P32" s="600">
        <f>100000-H32</f>
        <v>100000</v>
      </c>
      <c r="Q32" s="600"/>
    </row>
    <row r="33" ht="16" customHeight="1" spans="1:17">
      <c r="A33" s="93">
        <f t="shared" si="4"/>
        <v>26</v>
      </c>
      <c r="B33" s="614" t="s">
        <v>456</v>
      </c>
      <c r="C33" s="582"/>
      <c r="D33" s="583">
        <v>1360543</v>
      </c>
      <c r="E33" s="584">
        <v>666345</v>
      </c>
      <c r="F33" s="1043" t="s">
        <v>335</v>
      </c>
      <c r="G33" s="586">
        <v>16705</v>
      </c>
      <c r="H33" s="586">
        <v>83295</v>
      </c>
      <c r="I33" s="586">
        <f t="shared" si="5"/>
        <v>100000</v>
      </c>
      <c r="J33" s="584">
        <f t="shared" si="1"/>
        <v>649640</v>
      </c>
      <c r="K33" s="584">
        <f>SUM(J33*2.5%)</f>
        <v>16241</v>
      </c>
      <c r="L33" s="587"/>
      <c r="M33" s="588"/>
      <c r="N33" s="604"/>
      <c r="O33" s="604">
        <f>L33+K33</f>
        <v>16241</v>
      </c>
      <c r="P33">
        <f>100000-H33</f>
        <v>16705</v>
      </c>
      <c r="Q33">
        <f>100000-H33</f>
        <v>16705</v>
      </c>
    </row>
    <row r="34" ht="16" customHeight="1" spans="1:17">
      <c r="A34" s="93">
        <f t="shared" si="4"/>
        <v>27</v>
      </c>
      <c r="B34" s="614" t="s">
        <v>457</v>
      </c>
      <c r="C34" s="1042" t="s">
        <v>458</v>
      </c>
      <c r="D34" s="583">
        <v>2000000</v>
      </c>
      <c r="E34" s="584">
        <v>1900000</v>
      </c>
      <c r="F34" s="585"/>
      <c r="G34" s="586"/>
      <c r="H34" s="586"/>
      <c r="I34" s="586">
        <f t="shared" si="5"/>
        <v>0</v>
      </c>
      <c r="J34" s="584">
        <f t="shared" si="1"/>
        <v>1900000</v>
      </c>
      <c r="K34" s="584"/>
      <c r="L34" s="587"/>
      <c r="M34" s="617" t="s">
        <v>434</v>
      </c>
      <c r="N34" s="604"/>
    </row>
    <row r="35" ht="16" customHeight="1" spans="1:17">
      <c r="A35" s="93">
        <f t="shared" si="4"/>
        <v>28</v>
      </c>
      <c r="B35" s="614" t="s">
        <v>459</v>
      </c>
      <c r="C35" s="1042" t="s">
        <v>460</v>
      </c>
      <c r="D35" s="583">
        <v>1692069</v>
      </c>
      <c r="E35" s="584">
        <v>1638565</v>
      </c>
      <c r="F35" s="585"/>
      <c r="G35" s="586"/>
      <c r="H35" s="586"/>
      <c r="I35" s="586">
        <f t="shared" si="5"/>
        <v>0</v>
      </c>
      <c r="J35" s="584">
        <f t="shared" ref="J35:J70" si="7">SUM(E35-G35)</f>
        <v>1638565</v>
      </c>
      <c r="K35" s="584">
        <f>SUM(J35*2.5%)</f>
        <v>40964.125</v>
      </c>
      <c r="L35" s="587">
        <v>195784</v>
      </c>
      <c r="M35" s="588"/>
      <c r="N35" s="600">
        <f>L35+K35</f>
        <v>236748.125</v>
      </c>
      <c r="O35" s="604"/>
      <c r="P35" s="600"/>
    </row>
    <row r="36" ht="16" customHeight="1" spans="1:17">
      <c r="A36" s="93">
        <f t="shared" si="4"/>
        <v>29</v>
      </c>
      <c r="B36" s="614" t="s">
        <v>461</v>
      </c>
      <c r="C36" s="592" t="e">
        <f>#REF!</f>
        <v>#REF!</v>
      </c>
      <c r="D36" s="583">
        <v>7938265</v>
      </c>
      <c r="E36" s="594">
        <v>6453359</v>
      </c>
      <c r="F36" s="595"/>
      <c r="G36" s="596"/>
      <c r="H36" s="596"/>
      <c r="I36" s="586">
        <f t="shared" ref="I36:I70" si="8">G36+H36</f>
        <v>0</v>
      </c>
      <c r="J36" s="584">
        <f t="shared" si="7"/>
        <v>6453359</v>
      </c>
      <c r="K36" s="594">
        <f t="shared" ref="K36:K55" si="9">SUM(J36*2.5%)</f>
        <v>161333.975</v>
      </c>
      <c r="L36" s="587">
        <v>716840</v>
      </c>
      <c r="M36" s="617" t="s">
        <v>462</v>
      </c>
      <c r="N36" s="619">
        <f>L36+K36</f>
        <v>878173.975</v>
      </c>
      <c r="P36" s="600" t="e">
        <f>#REF!+329893</f>
        <v>#REF!</v>
      </c>
    </row>
    <row r="37" ht="16" customHeight="1" spans="1:17">
      <c r="A37" s="93">
        <f t="shared" si="4"/>
        <v>30</v>
      </c>
      <c r="B37" s="614" t="s">
        <v>463</v>
      </c>
      <c r="C37" s="1046" t="s">
        <v>464</v>
      </c>
      <c r="D37" s="583">
        <v>1585780</v>
      </c>
      <c r="E37" s="594">
        <v>418456</v>
      </c>
      <c r="F37" s="1044" t="s">
        <v>335</v>
      </c>
      <c r="G37" s="596">
        <v>47695</v>
      </c>
      <c r="H37" s="596">
        <v>52305</v>
      </c>
      <c r="I37" s="586">
        <f t="shared" si="8"/>
        <v>100000</v>
      </c>
      <c r="J37" s="584">
        <f t="shared" si="7"/>
        <v>370761</v>
      </c>
      <c r="K37" s="594">
        <f t="shared" si="9"/>
        <v>9269.025</v>
      </c>
      <c r="L37" s="587"/>
      <c r="M37" s="617"/>
      <c r="N37" s="604">
        <f>100000-H37</f>
        <v>47695</v>
      </c>
      <c r="O37" s="600">
        <f>N37/K37</f>
        <v>5.14563290097934</v>
      </c>
      <c r="P37">
        <f>100000-H37</f>
        <v>47695</v>
      </c>
    </row>
    <row r="38" ht="16" customHeight="1" spans="1:17">
      <c r="A38" s="93">
        <f t="shared" si="4"/>
        <v>31</v>
      </c>
      <c r="B38" s="614" t="s">
        <v>465</v>
      </c>
      <c r="C38" s="1045" t="s">
        <v>466</v>
      </c>
      <c r="D38" s="583">
        <v>4187495</v>
      </c>
      <c r="E38" s="594">
        <v>2094432</v>
      </c>
      <c r="F38" s="1044" t="s">
        <v>335</v>
      </c>
      <c r="G38" s="596">
        <v>190556</v>
      </c>
      <c r="H38" s="596">
        <v>209444</v>
      </c>
      <c r="I38" s="586">
        <f t="shared" si="8"/>
        <v>400000</v>
      </c>
      <c r="J38" s="584">
        <f t="shared" si="7"/>
        <v>1903876</v>
      </c>
      <c r="K38" s="594">
        <f t="shared" si="9"/>
        <v>47596.9</v>
      </c>
      <c r="L38" s="613"/>
      <c r="M38" s="588"/>
      <c r="N38" s="604">
        <f>L38+K38</f>
        <v>47596.9</v>
      </c>
      <c r="O38" s="604">
        <f>L38+K38</f>
        <v>47596.9</v>
      </c>
      <c r="P38" s="621">
        <f>K38+L38</f>
        <v>47596.9</v>
      </c>
      <c r="Q38">
        <f>400000-H38</f>
        <v>190556</v>
      </c>
    </row>
    <row r="39" ht="16" customHeight="1" spans="1:17">
      <c r="A39" s="93">
        <f t="shared" ref="A36:A59" si="10">A38+1</f>
        <v>32</v>
      </c>
      <c r="B39" s="614" t="s">
        <v>257</v>
      </c>
      <c r="C39" s="1045" t="s">
        <v>467</v>
      </c>
      <c r="D39" s="583">
        <v>4626747</v>
      </c>
      <c r="E39" s="594">
        <v>8316847</v>
      </c>
      <c r="F39" s="595"/>
      <c r="G39" s="596"/>
      <c r="H39" s="596"/>
      <c r="I39" s="586">
        <f t="shared" si="8"/>
        <v>0</v>
      </c>
      <c r="J39" s="584">
        <f t="shared" si="7"/>
        <v>8316847</v>
      </c>
      <c r="K39" s="594">
        <f t="shared" si="9"/>
        <v>207921.175</v>
      </c>
      <c r="L39" s="587">
        <v>115842</v>
      </c>
      <c r="M39" s="617"/>
      <c r="N39" s="600">
        <f>300000-K39</f>
        <v>92078.825</v>
      </c>
      <c r="O39" s="600">
        <f>130000-H39</f>
        <v>130000</v>
      </c>
      <c r="P39">
        <f>K39-H39</f>
        <v>207921.175</v>
      </c>
    </row>
    <row r="40" ht="16" customHeight="1" spans="1:17">
      <c r="A40" s="93">
        <f t="shared" si="10"/>
        <v>33</v>
      </c>
      <c r="B40" s="614" t="s">
        <v>356</v>
      </c>
      <c r="C40" s="1045" t="str">
        <f>C39</f>
        <v>30-11-2022</v>
      </c>
      <c r="D40" s="583">
        <v>2213403</v>
      </c>
      <c r="E40" s="594">
        <v>629455</v>
      </c>
      <c r="F40" s="1044" t="s">
        <v>335</v>
      </c>
      <c r="G40" s="596">
        <v>84264</v>
      </c>
      <c r="H40" s="596">
        <v>15736</v>
      </c>
      <c r="I40" s="586">
        <f t="shared" si="8"/>
        <v>100000</v>
      </c>
      <c r="J40" s="584">
        <f t="shared" si="7"/>
        <v>545191</v>
      </c>
      <c r="K40" s="594">
        <f t="shared" si="9"/>
        <v>13629.775</v>
      </c>
      <c r="L40" s="587"/>
      <c r="M40" s="588"/>
      <c r="N40" s="600">
        <f>L39-N39</f>
        <v>23763.175</v>
      </c>
      <c r="O40" s="600">
        <f>100000-H40</f>
        <v>84264</v>
      </c>
    </row>
    <row r="41" ht="16" customHeight="1" spans="1:17">
      <c r="A41" s="93">
        <f t="shared" si="10"/>
        <v>34</v>
      </c>
      <c r="B41" s="614" t="s">
        <v>468</v>
      </c>
      <c r="C41" s="1045" t="s">
        <v>469</v>
      </c>
      <c r="D41" s="583">
        <v>8457758</v>
      </c>
      <c r="E41" s="594">
        <v>7063011</v>
      </c>
      <c r="F41" s="595"/>
      <c r="G41" s="596"/>
      <c r="H41" s="596"/>
      <c r="I41" s="586">
        <f t="shared" si="8"/>
        <v>0</v>
      </c>
      <c r="J41" s="584">
        <f t="shared" si="7"/>
        <v>7063011</v>
      </c>
      <c r="K41" s="594">
        <f t="shared" si="9"/>
        <v>176575.275</v>
      </c>
      <c r="L41" s="587">
        <v>559450</v>
      </c>
      <c r="M41" s="588"/>
      <c r="N41" s="600"/>
      <c r="O41" s="604"/>
    </row>
    <row r="42" ht="16" customHeight="1" spans="1:17">
      <c r="A42" s="93">
        <f t="shared" si="10"/>
        <v>35</v>
      </c>
      <c r="B42" s="614" t="s">
        <v>470</v>
      </c>
      <c r="C42" s="1045" t="s">
        <v>471</v>
      </c>
      <c r="D42" s="583">
        <v>1542965</v>
      </c>
      <c r="E42" s="594">
        <v>1451957</v>
      </c>
      <c r="F42" s="595"/>
      <c r="G42" s="596"/>
      <c r="H42" s="596"/>
      <c r="I42" s="586">
        <f t="shared" si="8"/>
        <v>0</v>
      </c>
      <c r="J42" s="584">
        <f t="shared" si="7"/>
        <v>1451957</v>
      </c>
      <c r="K42" s="594">
        <f t="shared" si="9"/>
        <v>36298.925</v>
      </c>
      <c r="L42" s="587">
        <v>104093</v>
      </c>
      <c r="M42" s="588"/>
      <c r="N42" s="604"/>
      <c r="O42" s="600"/>
      <c r="P42" s="604"/>
      <c r="Q42" s="600"/>
    </row>
    <row r="43" ht="16" customHeight="1" spans="1:17">
      <c r="A43" s="93">
        <f t="shared" si="10"/>
        <v>36</v>
      </c>
      <c r="B43" s="614" t="s">
        <v>472</v>
      </c>
      <c r="C43" s="1045" t="s">
        <v>473</v>
      </c>
      <c r="D43" s="583">
        <v>5000000</v>
      </c>
      <c r="E43" s="594">
        <v>2800000</v>
      </c>
      <c r="F43" s="595"/>
      <c r="G43" s="596"/>
      <c r="H43" s="596"/>
      <c r="I43" s="586">
        <f t="shared" si="8"/>
        <v>0</v>
      </c>
      <c r="J43" s="584">
        <f t="shared" si="7"/>
        <v>2800000</v>
      </c>
      <c r="K43" s="594"/>
      <c r="L43" s="587"/>
      <c r="M43" s="617" t="s">
        <v>440</v>
      </c>
      <c r="P43" s="604"/>
    </row>
    <row r="44" ht="16" customHeight="1" spans="1:17">
      <c r="A44" s="93">
        <f t="shared" si="10"/>
        <v>37</v>
      </c>
      <c r="B44" s="614" t="s">
        <v>474</v>
      </c>
      <c r="C44" s="1042" t="s">
        <v>475</v>
      </c>
      <c r="D44" s="583">
        <v>979700</v>
      </c>
      <c r="E44" s="584">
        <v>883043</v>
      </c>
      <c r="F44" s="1043" t="s">
        <v>335</v>
      </c>
      <c r="G44" s="586">
        <v>2924</v>
      </c>
      <c r="H44" s="586">
        <v>22076</v>
      </c>
      <c r="I44" s="586">
        <f t="shared" si="8"/>
        <v>25000</v>
      </c>
      <c r="J44" s="584">
        <f t="shared" si="7"/>
        <v>880119</v>
      </c>
      <c r="K44" s="584">
        <f t="shared" si="9"/>
        <v>22002.975</v>
      </c>
      <c r="L44" s="587"/>
      <c r="M44" s="617"/>
      <c r="N44" s="600"/>
      <c r="O44" s="600">
        <f>30000-H44</f>
        <v>7924</v>
      </c>
    </row>
    <row r="45" ht="16" customHeight="1" spans="1:17">
      <c r="A45" s="93">
        <f t="shared" si="10"/>
        <v>38</v>
      </c>
      <c r="B45" s="614" t="s">
        <v>476</v>
      </c>
      <c r="C45" s="1042" t="str">
        <f t="shared" ref="C43:C50" si="11">C44</f>
        <v>08-02-2023</v>
      </c>
      <c r="D45" s="583">
        <v>3494209</v>
      </c>
      <c r="E45" s="584">
        <v>3367452</v>
      </c>
      <c r="F45" s="1043" t="s">
        <v>335</v>
      </c>
      <c r="G45" s="596">
        <v>15814</v>
      </c>
      <c r="H45" s="586">
        <v>84186</v>
      </c>
      <c r="I45" s="586">
        <f t="shared" si="8"/>
        <v>100000</v>
      </c>
      <c r="J45" s="584">
        <f t="shared" si="7"/>
        <v>3351638</v>
      </c>
      <c r="K45" s="584">
        <f t="shared" si="9"/>
        <v>83790.95</v>
      </c>
      <c r="L45" s="613"/>
      <c r="M45" s="588"/>
      <c r="N45" s="600"/>
      <c r="O45" s="600">
        <f>K45+L45</f>
        <v>83790.95</v>
      </c>
      <c r="P45">
        <f>100000-H45</f>
        <v>15814</v>
      </c>
    </row>
    <row r="46" ht="16" customHeight="1" spans="1:17">
      <c r="A46" s="93">
        <f t="shared" si="10"/>
        <v>39</v>
      </c>
      <c r="B46" s="614" t="s">
        <v>477</v>
      </c>
      <c r="C46" s="1042" t="str">
        <f t="shared" si="11"/>
        <v>08-02-2023</v>
      </c>
      <c r="D46" s="583">
        <v>2500000</v>
      </c>
      <c r="E46" s="584">
        <v>2145743</v>
      </c>
      <c r="F46" s="1043" t="s">
        <v>335</v>
      </c>
      <c r="G46" s="586">
        <v>356</v>
      </c>
      <c r="H46" s="586">
        <v>53644</v>
      </c>
      <c r="I46" s="586">
        <f t="shared" si="8"/>
        <v>54000</v>
      </c>
      <c r="J46" s="584">
        <f t="shared" si="7"/>
        <v>2145387</v>
      </c>
      <c r="K46" s="584">
        <f t="shared" si="9"/>
        <v>53634.675</v>
      </c>
      <c r="L46" s="587"/>
      <c r="M46" s="617"/>
      <c r="N46" s="604">
        <f>K46+L46</f>
        <v>53634.675</v>
      </c>
      <c r="O46" s="604">
        <f>100000-H46</f>
        <v>46356</v>
      </c>
      <c r="P46">
        <f>L46+6110</f>
        <v>6110</v>
      </c>
    </row>
    <row r="47" ht="16" customHeight="1" spans="1:17">
      <c r="A47" s="93">
        <f t="shared" si="10"/>
        <v>40</v>
      </c>
      <c r="B47" s="614" t="s">
        <v>478</v>
      </c>
      <c r="C47" s="1042" t="str">
        <f t="shared" si="11"/>
        <v>08-02-2023</v>
      </c>
      <c r="D47" s="583">
        <v>1377442</v>
      </c>
      <c r="E47" s="584">
        <v>722060</v>
      </c>
      <c r="F47" s="1043" t="s">
        <v>335</v>
      </c>
      <c r="G47" s="586">
        <v>31948</v>
      </c>
      <c r="H47" s="586">
        <v>18052</v>
      </c>
      <c r="I47" s="586">
        <f t="shared" si="8"/>
        <v>50000</v>
      </c>
      <c r="J47" s="584">
        <f t="shared" si="7"/>
        <v>690112</v>
      </c>
      <c r="K47" s="584">
        <f t="shared" si="9"/>
        <v>17252.8</v>
      </c>
      <c r="L47" s="587"/>
      <c r="M47" s="588"/>
      <c r="N47" s="604"/>
      <c r="O47" s="600">
        <f>50000-H47</f>
        <v>31948</v>
      </c>
    </row>
    <row r="48" ht="16" customHeight="1" spans="1:17">
      <c r="A48" s="93">
        <f t="shared" si="10"/>
        <v>41</v>
      </c>
      <c r="B48" s="614" t="s">
        <v>479</v>
      </c>
      <c r="C48" s="1042" t="str">
        <f t="shared" si="11"/>
        <v>08-02-2023</v>
      </c>
      <c r="D48" s="583">
        <v>1450269</v>
      </c>
      <c r="E48" s="584">
        <v>1364207</v>
      </c>
      <c r="F48" s="1043" t="s">
        <v>335</v>
      </c>
      <c r="G48" s="586"/>
      <c r="H48" s="622">
        <v>100000</v>
      </c>
      <c r="I48" s="586">
        <f t="shared" si="8"/>
        <v>100000</v>
      </c>
      <c r="J48" s="584">
        <f t="shared" si="7"/>
        <v>1364207</v>
      </c>
      <c r="K48" s="584">
        <f t="shared" si="9"/>
        <v>34105.175</v>
      </c>
      <c r="L48" s="587"/>
      <c r="M48" s="617"/>
      <c r="N48" s="604">
        <f>L48+K48</f>
        <v>34105.175</v>
      </c>
      <c r="O48" s="600">
        <f>L48+K48</f>
        <v>34105.175</v>
      </c>
      <c r="P48" s="600">
        <f>150000-H48</f>
        <v>50000</v>
      </c>
    </row>
    <row r="49" ht="16" customHeight="1" spans="1:17">
      <c r="A49" s="93">
        <f t="shared" si="10"/>
        <v>42</v>
      </c>
      <c r="B49" s="614" t="s">
        <v>480</v>
      </c>
      <c r="C49" s="1042" t="str">
        <f t="shared" si="11"/>
        <v>08-02-2023</v>
      </c>
      <c r="D49" s="583">
        <v>2613922</v>
      </c>
      <c r="E49" s="584">
        <v>1362602</v>
      </c>
      <c r="F49" s="1043" t="s">
        <v>277</v>
      </c>
      <c r="G49" s="586"/>
      <c r="H49" s="586">
        <v>50000</v>
      </c>
      <c r="I49" s="586">
        <f t="shared" si="8"/>
        <v>50000</v>
      </c>
      <c r="J49" s="584">
        <f t="shared" si="7"/>
        <v>1362602</v>
      </c>
      <c r="K49" s="584">
        <f t="shared" si="9"/>
        <v>34065.05</v>
      </c>
      <c r="L49" s="587">
        <v>8130</v>
      </c>
      <c r="M49" s="588"/>
      <c r="N49" s="604">
        <f>K49+L49</f>
        <v>42195.05</v>
      </c>
      <c r="O49" s="600">
        <f>K49+L49</f>
        <v>42195.05</v>
      </c>
      <c r="P49">
        <f>50000-H49</f>
        <v>0</v>
      </c>
    </row>
    <row r="50" ht="16" customHeight="1" spans="1:17">
      <c r="A50" s="93">
        <f t="shared" si="10"/>
        <v>43</v>
      </c>
      <c r="B50" s="614" t="s">
        <v>481</v>
      </c>
      <c r="C50" s="1042" t="str">
        <f t="shared" si="11"/>
        <v>08-02-2023</v>
      </c>
      <c r="D50" s="583">
        <v>4318751</v>
      </c>
      <c r="E50" s="584">
        <v>486177</v>
      </c>
      <c r="F50" s="1043" t="s">
        <v>335</v>
      </c>
      <c r="G50" s="586">
        <v>137846</v>
      </c>
      <c r="H50" s="586">
        <v>12154</v>
      </c>
      <c r="I50" s="586">
        <f t="shared" si="8"/>
        <v>150000</v>
      </c>
      <c r="J50" s="584">
        <f t="shared" si="7"/>
        <v>348331</v>
      </c>
      <c r="K50" s="584">
        <f t="shared" si="9"/>
        <v>8708.275</v>
      </c>
      <c r="L50" s="587"/>
      <c r="M50" s="588"/>
      <c r="N50" s="600">
        <f>J50+K50</f>
        <v>357039.275</v>
      </c>
      <c r="O50" s="600">
        <f>150000-H50</f>
        <v>137846</v>
      </c>
      <c r="P50">
        <f>O50+121000</f>
        <v>258846</v>
      </c>
      <c r="Q50">
        <f>225000-H50</f>
        <v>212846</v>
      </c>
    </row>
    <row r="51" ht="16" customHeight="1" spans="1:17">
      <c r="A51" s="93">
        <f t="shared" si="10"/>
        <v>44</v>
      </c>
      <c r="B51" s="614" t="s">
        <v>482</v>
      </c>
      <c r="C51" s="1042" t="s">
        <v>483</v>
      </c>
      <c r="D51" s="583">
        <v>2291126</v>
      </c>
      <c r="E51" s="584">
        <v>3284337</v>
      </c>
      <c r="F51" s="1043" t="s">
        <v>335</v>
      </c>
      <c r="G51" s="586">
        <v>117892</v>
      </c>
      <c r="H51" s="586">
        <v>82108</v>
      </c>
      <c r="I51" s="586">
        <f t="shared" si="8"/>
        <v>200000</v>
      </c>
      <c r="J51" s="584">
        <f t="shared" si="7"/>
        <v>3166445</v>
      </c>
      <c r="K51" s="584">
        <f t="shared" si="9"/>
        <v>79161.125</v>
      </c>
      <c r="L51" s="587"/>
      <c r="M51" s="588"/>
      <c r="N51" s="604">
        <f>200000-H51</f>
        <v>117892</v>
      </c>
      <c r="O51" s="604">
        <f>150000-H51</f>
        <v>67892</v>
      </c>
      <c r="P51">
        <f>200000-H51</f>
        <v>117892</v>
      </c>
    </row>
    <row r="52" ht="16" customHeight="1" spans="1:17">
      <c r="A52" s="93">
        <f t="shared" si="10"/>
        <v>45</v>
      </c>
      <c r="B52" s="614" t="s">
        <v>484</v>
      </c>
      <c r="C52" s="1042" t="str">
        <f>C157</f>
        <v>01-03-2023</v>
      </c>
      <c r="D52" s="583">
        <v>1950889</v>
      </c>
      <c r="E52" s="584">
        <v>1947943</v>
      </c>
      <c r="F52" s="585"/>
      <c r="G52" s="586"/>
      <c r="H52" s="586"/>
      <c r="I52" s="586">
        <f t="shared" si="8"/>
        <v>0</v>
      </c>
      <c r="J52" s="584">
        <f t="shared" si="7"/>
        <v>1947943</v>
      </c>
      <c r="K52" s="584">
        <f t="shared" si="9"/>
        <v>48698.575</v>
      </c>
      <c r="L52" s="613">
        <v>700856</v>
      </c>
      <c r="M52" s="588"/>
      <c r="N52" s="604">
        <f>L52+K52</f>
        <v>749554.575</v>
      </c>
    </row>
    <row r="53" ht="16" customHeight="1" spans="1:17">
      <c r="A53" s="93">
        <f t="shared" si="10"/>
        <v>46</v>
      </c>
      <c r="B53" s="614" t="s">
        <v>485</v>
      </c>
      <c r="C53" s="1042" t="s">
        <v>486</v>
      </c>
      <c r="D53" s="583">
        <v>1866287</v>
      </c>
      <c r="E53" s="584">
        <v>1422428</v>
      </c>
      <c r="F53" s="585"/>
      <c r="G53" s="586"/>
      <c r="H53" s="586"/>
      <c r="I53" s="586">
        <f t="shared" si="8"/>
        <v>0</v>
      </c>
      <c r="J53" s="584">
        <f t="shared" si="7"/>
        <v>1422428</v>
      </c>
      <c r="K53" s="584">
        <f t="shared" si="9"/>
        <v>35560.7</v>
      </c>
      <c r="L53" s="587"/>
      <c r="M53" s="588"/>
      <c r="N53" s="604"/>
      <c r="O53" s="604">
        <f>50000-H53</f>
        <v>50000</v>
      </c>
      <c r="P53">
        <f>100000-O53</f>
        <v>50000</v>
      </c>
      <c r="Q53" s="600"/>
    </row>
    <row r="54" ht="16" customHeight="1" spans="1:17">
      <c r="A54" s="93">
        <f t="shared" si="10"/>
        <v>47</v>
      </c>
      <c r="B54" s="614" t="s">
        <v>487</v>
      </c>
      <c r="C54" s="1042" t="str">
        <f>C53</f>
        <v>10-04-2023</v>
      </c>
      <c r="D54" s="583">
        <v>1813568</v>
      </c>
      <c r="E54" s="584">
        <v>1446282</v>
      </c>
      <c r="F54" s="1043" t="s">
        <v>335</v>
      </c>
      <c r="G54" s="586">
        <v>13843</v>
      </c>
      <c r="H54" s="586">
        <v>36157</v>
      </c>
      <c r="I54" s="586">
        <f t="shared" si="8"/>
        <v>50000</v>
      </c>
      <c r="J54" s="584">
        <f t="shared" si="7"/>
        <v>1432439</v>
      </c>
      <c r="K54" s="584">
        <f t="shared" si="9"/>
        <v>35810.975</v>
      </c>
      <c r="L54" s="587"/>
      <c r="M54" s="588"/>
      <c r="N54" s="604"/>
      <c r="O54" s="604">
        <f>50000-H54</f>
        <v>13843</v>
      </c>
      <c r="P54" s="604">
        <f>50000-O54</f>
        <v>36157</v>
      </c>
    </row>
    <row r="55" ht="16" customHeight="1" spans="1:17">
      <c r="A55" s="93">
        <f t="shared" si="10"/>
        <v>48</v>
      </c>
      <c r="B55" s="614" t="s">
        <v>488</v>
      </c>
      <c r="C55" s="1042" t="str">
        <f>C54</f>
        <v>10-04-2023</v>
      </c>
      <c r="D55" s="583">
        <v>1511972</v>
      </c>
      <c r="E55" s="584">
        <v>1105064</v>
      </c>
      <c r="F55" s="585"/>
      <c r="G55" s="586"/>
      <c r="H55" s="586"/>
      <c r="I55" s="586">
        <f t="shared" si="8"/>
        <v>0</v>
      </c>
      <c r="J55" s="584">
        <f t="shared" si="7"/>
        <v>1105064</v>
      </c>
      <c r="K55" s="584">
        <f t="shared" si="9"/>
        <v>27626.6</v>
      </c>
      <c r="L55" s="613">
        <v>331524</v>
      </c>
      <c r="M55" s="588"/>
      <c r="N55" s="604">
        <f>L55/K55</f>
        <v>12.000173745593</v>
      </c>
      <c r="O55" s="604"/>
    </row>
    <row r="56" ht="16" customHeight="1" spans="1:17">
      <c r="A56" s="93">
        <f t="shared" si="10"/>
        <v>49</v>
      </c>
      <c r="B56" s="614" t="s">
        <v>489</v>
      </c>
      <c r="C56" s="1045" t="str">
        <f>C55</f>
        <v>10-04-2023</v>
      </c>
      <c r="D56" s="583">
        <v>8759699</v>
      </c>
      <c r="E56" s="594">
        <v>4999948</v>
      </c>
      <c r="F56" s="595"/>
      <c r="G56" s="596"/>
      <c r="H56" s="596"/>
      <c r="I56" s="586">
        <f t="shared" si="8"/>
        <v>0</v>
      </c>
      <c r="J56" s="584">
        <f t="shared" si="7"/>
        <v>4999948</v>
      </c>
      <c r="K56" s="584"/>
      <c r="L56" s="587"/>
      <c r="M56" s="617" t="s">
        <v>452</v>
      </c>
      <c r="O56" s="600"/>
    </row>
    <row r="57" ht="16" customHeight="1" spans="1:17">
      <c r="A57" s="93">
        <f t="shared" si="10"/>
        <v>50</v>
      </c>
      <c r="B57" s="614" t="s">
        <v>490</v>
      </c>
      <c r="C57" s="1045" t="str">
        <f t="shared" ref="C57:C65" si="12">C56</f>
        <v>10-04-2023</v>
      </c>
      <c r="D57" s="583">
        <v>3917101</v>
      </c>
      <c r="E57" s="584">
        <v>3330356</v>
      </c>
      <c r="F57" s="1043" t="s">
        <v>335</v>
      </c>
      <c r="G57" s="586">
        <v>6965</v>
      </c>
      <c r="H57" s="586">
        <v>113035</v>
      </c>
      <c r="I57" s="586">
        <f t="shared" si="8"/>
        <v>120000</v>
      </c>
      <c r="J57" s="584">
        <f t="shared" si="7"/>
        <v>3323391</v>
      </c>
      <c r="K57" s="584">
        <f t="shared" ref="K57:K70" si="13">SUM(J57*2.5%)</f>
        <v>83084.775</v>
      </c>
      <c r="L57" s="587"/>
      <c r="M57" s="588"/>
      <c r="N57" s="600">
        <f>H57-K57</f>
        <v>29950.225</v>
      </c>
      <c r="O57" s="600">
        <f>120000-H57</f>
        <v>6965</v>
      </c>
      <c r="P57" s="600">
        <f>H57-K57</f>
        <v>29950.225</v>
      </c>
      <c r="Q57">
        <f>K57+L57</f>
        <v>83084.775</v>
      </c>
    </row>
    <row r="58" ht="16" customHeight="1" spans="1:17">
      <c r="A58" s="93">
        <f t="shared" si="10"/>
        <v>51</v>
      </c>
      <c r="B58" s="614" t="s">
        <v>491</v>
      </c>
      <c r="C58" s="1045" t="str">
        <f t="shared" si="12"/>
        <v>10-04-2023</v>
      </c>
      <c r="D58" s="583">
        <v>1595827</v>
      </c>
      <c r="E58" s="584">
        <v>1010392</v>
      </c>
      <c r="F58" s="1043" t="s">
        <v>335</v>
      </c>
      <c r="G58" s="586">
        <v>24740</v>
      </c>
      <c r="H58" s="586">
        <v>25260</v>
      </c>
      <c r="I58" s="586">
        <f t="shared" si="8"/>
        <v>50000</v>
      </c>
      <c r="J58" s="584">
        <f t="shared" si="7"/>
        <v>985652</v>
      </c>
      <c r="K58" s="584">
        <f t="shared" si="13"/>
        <v>24641.3</v>
      </c>
      <c r="L58" s="613"/>
      <c r="M58" s="588"/>
      <c r="N58" s="604">
        <f>L57-N57</f>
        <v>-29950.225</v>
      </c>
      <c r="O58">
        <f>50000-K58</f>
        <v>25358.7</v>
      </c>
      <c r="P58">
        <f>L57-P57</f>
        <v>-29950.225</v>
      </c>
    </row>
    <row r="59" ht="16" customHeight="1" spans="1:17">
      <c r="A59" s="93">
        <f t="shared" si="10"/>
        <v>52</v>
      </c>
      <c r="B59" s="614" t="s">
        <v>492</v>
      </c>
      <c r="C59" s="1045" t="str">
        <f t="shared" si="12"/>
        <v>10-04-2023</v>
      </c>
      <c r="D59" s="583">
        <v>4432396</v>
      </c>
      <c r="E59" s="584">
        <v>1132323</v>
      </c>
      <c r="F59" s="1043" t="s">
        <v>335</v>
      </c>
      <c r="G59" s="586">
        <v>171692</v>
      </c>
      <c r="H59" s="622">
        <v>28308</v>
      </c>
      <c r="I59" s="586">
        <f t="shared" si="8"/>
        <v>200000</v>
      </c>
      <c r="J59" s="584">
        <f t="shared" si="7"/>
        <v>960631</v>
      </c>
      <c r="K59" s="584">
        <f t="shared" si="13"/>
        <v>24015.775</v>
      </c>
      <c r="L59" s="587"/>
      <c r="M59" s="588"/>
      <c r="N59" s="604"/>
      <c r="O59" s="604">
        <f>200000-H59</f>
        <v>171692</v>
      </c>
      <c r="P59" s="604">
        <f>K59+L59</f>
        <v>24015.775</v>
      </c>
    </row>
    <row r="60" ht="16" customHeight="1" spans="1:17">
      <c r="A60" s="93">
        <f>A59+1</f>
        <v>53</v>
      </c>
      <c r="B60" s="614" t="s">
        <v>493</v>
      </c>
      <c r="C60" s="1045" t="str">
        <f t="shared" si="12"/>
        <v>10-04-2023</v>
      </c>
      <c r="D60" s="583">
        <v>1619583</v>
      </c>
      <c r="E60" s="584">
        <v>1086842</v>
      </c>
      <c r="F60" s="585"/>
      <c r="G60" s="586"/>
      <c r="H60" s="586"/>
      <c r="I60" s="586">
        <f t="shared" si="8"/>
        <v>0</v>
      </c>
      <c r="J60" s="584">
        <f t="shared" si="7"/>
        <v>1086842</v>
      </c>
      <c r="K60" s="584">
        <f t="shared" si="13"/>
        <v>27171.05</v>
      </c>
      <c r="L60" s="587">
        <v>357565</v>
      </c>
      <c r="M60" s="588"/>
      <c r="N60" s="604">
        <f>L60+K60</f>
        <v>384736.05</v>
      </c>
    </row>
    <row r="61" ht="16" customHeight="1" spans="1:17">
      <c r="A61" s="93">
        <f>A60+1</f>
        <v>54</v>
      </c>
      <c r="B61" s="614" t="s">
        <v>494</v>
      </c>
      <c r="C61" s="1045" t="str">
        <f t="shared" si="12"/>
        <v>10-04-2023</v>
      </c>
      <c r="D61" s="583">
        <v>8653118</v>
      </c>
      <c r="E61" s="584">
        <v>5034869</v>
      </c>
      <c r="F61" s="1043" t="s">
        <v>335</v>
      </c>
      <c r="G61" s="586"/>
      <c r="H61" s="586">
        <v>200000</v>
      </c>
      <c r="I61" s="586">
        <f t="shared" si="8"/>
        <v>200000</v>
      </c>
      <c r="J61" s="584">
        <f t="shared" si="7"/>
        <v>5034869</v>
      </c>
      <c r="K61" s="584">
        <f t="shared" si="13"/>
        <v>125871.725</v>
      </c>
      <c r="L61" s="587">
        <v>51743</v>
      </c>
      <c r="M61" s="588"/>
      <c r="N61" s="600">
        <f>200000-L61</f>
        <v>148257</v>
      </c>
      <c r="O61" s="600">
        <f>200000-H61</f>
        <v>0</v>
      </c>
      <c r="P61">
        <f>K61+L61</f>
        <v>177614.725</v>
      </c>
      <c r="Q61">
        <f>H61-K61</f>
        <v>74128.275</v>
      </c>
    </row>
    <row r="62" ht="16" customHeight="1" spans="1:17">
      <c r="A62" s="93">
        <f>A61+1</f>
        <v>55</v>
      </c>
      <c r="B62" s="614" t="s">
        <v>495</v>
      </c>
      <c r="C62" s="1045" t="str">
        <f t="shared" si="12"/>
        <v>10-04-2023</v>
      </c>
      <c r="D62" s="583">
        <v>7330110</v>
      </c>
      <c r="E62" s="584">
        <v>4416859</v>
      </c>
      <c r="F62" s="1043" t="s">
        <v>270</v>
      </c>
      <c r="G62" s="586">
        <v>39579</v>
      </c>
      <c r="H62" s="586">
        <v>110421</v>
      </c>
      <c r="I62" s="586">
        <f t="shared" si="8"/>
        <v>150000</v>
      </c>
      <c r="J62" s="584">
        <f t="shared" si="7"/>
        <v>4377280</v>
      </c>
      <c r="K62" s="584">
        <f t="shared" si="13"/>
        <v>109432</v>
      </c>
      <c r="L62" s="613"/>
      <c r="M62" s="617" t="s">
        <v>496</v>
      </c>
      <c r="N62" s="604">
        <f>H61+L61</f>
        <v>251743</v>
      </c>
      <c r="O62" s="604">
        <f>150000-H62</f>
        <v>39579</v>
      </c>
      <c r="Q62">
        <f>L61-Q61</f>
        <v>-22385.275</v>
      </c>
    </row>
    <row r="63" ht="16" customHeight="1" spans="1:17">
      <c r="A63" s="93">
        <f>A62+1</f>
        <v>56</v>
      </c>
      <c r="B63" s="614" t="s">
        <v>497</v>
      </c>
      <c r="C63" s="1045" t="str">
        <f t="shared" si="12"/>
        <v>10-04-2023</v>
      </c>
      <c r="D63" s="583">
        <v>2343250</v>
      </c>
      <c r="E63" s="584">
        <v>2156192</v>
      </c>
      <c r="F63" s="585"/>
      <c r="G63" s="586"/>
      <c r="H63" s="586"/>
      <c r="I63" s="586">
        <f t="shared" si="8"/>
        <v>0</v>
      </c>
      <c r="J63" s="584">
        <f t="shared" si="7"/>
        <v>2156192</v>
      </c>
      <c r="K63" s="584">
        <f t="shared" si="13"/>
        <v>53904.8</v>
      </c>
      <c r="L63" s="587">
        <v>512480</v>
      </c>
      <c r="M63" s="588"/>
      <c r="N63" s="604">
        <f>L63+K63</f>
        <v>566384.8</v>
      </c>
      <c r="O63">
        <f>L62-O62</f>
        <v>-39579</v>
      </c>
      <c r="P63">
        <f>H63-K63</f>
        <v>-53904.8</v>
      </c>
    </row>
    <row r="64" ht="16" customHeight="1" spans="1:17">
      <c r="A64" s="93">
        <f>A63+1</f>
        <v>57</v>
      </c>
      <c r="B64" s="614" t="s">
        <v>498</v>
      </c>
      <c r="C64" s="1045" t="str">
        <f t="shared" si="12"/>
        <v>10-04-2023</v>
      </c>
      <c r="D64" s="583">
        <v>1799283</v>
      </c>
      <c r="E64" s="584">
        <v>1285871</v>
      </c>
      <c r="F64" s="585"/>
      <c r="G64" s="586"/>
      <c r="H64" s="586"/>
      <c r="I64" s="586">
        <f t="shared" si="8"/>
        <v>0</v>
      </c>
      <c r="J64" s="584">
        <f t="shared" si="7"/>
        <v>1285871</v>
      </c>
      <c r="K64" s="584">
        <f t="shared" si="13"/>
        <v>32146.775</v>
      </c>
      <c r="L64" s="587">
        <v>288617</v>
      </c>
      <c r="M64" s="617"/>
      <c r="N64" s="604">
        <f>L64+K64</f>
        <v>320763.775</v>
      </c>
      <c r="O64" s="604"/>
      <c r="P64">
        <f>L63-P63</f>
        <v>566384.8</v>
      </c>
    </row>
    <row r="65" ht="16" customHeight="1" spans="1:16">
      <c r="A65" s="93">
        <f>A64+1</f>
        <v>58</v>
      </c>
      <c r="B65" s="614" t="s">
        <v>499</v>
      </c>
      <c r="C65" s="1045" t="str">
        <f t="shared" si="12"/>
        <v>10-04-2023</v>
      </c>
      <c r="D65" s="583">
        <v>2422728</v>
      </c>
      <c r="E65" s="584">
        <v>2422728</v>
      </c>
      <c r="F65" s="585"/>
      <c r="G65" s="586"/>
      <c r="H65" s="586"/>
      <c r="I65" s="586">
        <f t="shared" si="8"/>
        <v>0</v>
      </c>
      <c r="J65" s="584">
        <f t="shared" si="7"/>
        <v>2422728</v>
      </c>
      <c r="K65" s="584"/>
      <c r="L65" s="587"/>
      <c r="M65" s="617" t="s">
        <v>440</v>
      </c>
      <c r="N65" s="604"/>
      <c r="O65" s="600"/>
    </row>
    <row r="66" ht="16" customHeight="1" spans="1:16">
      <c r="A66" s="93">
        <f>A65+1</f>
        <v>59</v>
      </c>
      <c r="B66" s="614" t="s">
        <v>500</v>
      </c>
      <c r="C66" s="1042" t="str">
        <f>C67</f>
        <v>11-04-2023</v>
      </c>
      <c r="D66" s="583">
        <v>4950000</v>
      </c>
      <c r="E66" s="584">
        <v>4317460</v>
      </c>
      <c r="F66" s="585"/>
      <c r="G66" s="586"/>
      <c r="H66" s="586"/>
      <c r="I66" s="586">
        <f t="shared" si="8"/>
        <v>0</v>
      </c>
      <c r="J66" s="584">
        <f t="shared" si="7"/>
        <v>4317460</v>
      </c>
      <c r="K66" s="584">
        <f>SUM(J66*2.5%)</f>
        <v>107936.5</v>
      </c>
      <c r="L66" s="587"/>
      <c r="M66" s="617"/>
      <c r="N66" s="604"/>
      <c r="O66" s="600">
        <f>150000-H66</f>
        <v>150000</v>
      </c>
      <c r="P66" s="600">
        <f>350000-N66</f>
        <v>350000</v>
      </c>
    </row>
    <row r="67" ht="16" customHeight="1" spans="1:16">
      <c r="A67" s="93">
        <f>A66+1</f>
        <v>60</v>
      </c>
      <c r="B67" s="614" t="s">
        <v>501</v>
      </c>
      <c r="C67" s="1045" t="str">
        <f>C68</f>
        <v>11-04-2023</v>
      </c>
      <c r="D67" s="583">
        <v>2395410</v>
      </c>
      <c r="E67" s="594">
        <v>824115</v>
      </c>
      <c r="F67" s="595"/>
      <c r="G67" s="596"/>
      <c r="H67" s="596"/>
      <c r="I67" s="586">
        <f t="shared" si="8"/>
        <v>0</v>
      </c>
      <c r="J67" s="584">
        <f t="shared" si="7"/>
        <v>824115</v>
      </c>
      <c r="K67" s="584">
        <f>SUM(J67*2.5%)</f>
        <v>20602.875</v>
      </c>
      <c r="L67" s="613"/>
      <c r="M67" s="588"/>
      <c r="N67" s="600"/>
      <c r="O67" s="600">
        <f>100000-H67</f>
        <v>100000</v>
      </c>
      <c r="P67" s="600">
        <f>100000-H67</f>
        <v>100000</v>
      </c>
    </row>
    <row r="68" ht="16" customHeight="1" spans="1:16">
      <c r="A68" s="93">
        <f>A67+1</f>
        <v>61</v>
      </c>
      <c r="B68" s="614" t="s">
        <v>502</v>
      </c>
      <c r="C68" s="1042" t="s">
        <v>503</v>
      </c>
      <c r="D68" s="583">
        <v>23570404</v>
      </c>
      <c r="E68" s="584">
        <v>16315710</v>
      </c>
      <c r="F68" s="585"/>
      <c r="G68" s="596"/>
      <c r="H68" s="586"/>
      <c r="I68" s="586">
        <f t="shared" si="8"/>
        <v>0</v>
      </c>
      <c r="J68" s="584">
        <f t="shared" si="7"/>
        <v>16315710</v>
      </c>
      <c r="K68" s="584">
        <f>SUM(J68*2.5%)</f>
        <v>407892.75</v>
      </c>
      <c r="L68" s="587">
        <v>723679</v>
      </c>
      <c r="M68" s="71"/>
      <c r="N68" s="600"/>
      <c r="O68" s="604"/>
      <c r="P68" s="600">
        <f>750000-H68</f>
        <v>750000</v>
      </c>
    </row>
    <row r="69" ht="16" customHeight="1" spans="1:16">
      <c r="A69" s="93">
        <f>A68+1</f>
        <v>62</v>
      </c>
      <c r="B69" s="614" t="s">
        <v>504</v>
      </c>
      <c r="C69" s="1042" t="str">
        <f>C70</f>
        <v>14-04-2023</v>
      </c>
      <c r="D69" s="583">
        <v>2000000</v>
      </c>
      <c r="E69" s="584">
        <v>1977717</v>
      </c>
      <c r="F69" s="1043" t="s">
        <v>335</v>
      </c>
      <c r="G69" s="586">
        <v>557</v>
      </c>
      <c r="H69" s="586">
        <v>49443</v>
      </c>
      <c r="I69" s="586">
        <f t="shared" si="8"/>
        <v>50000</v>
      </c>
      <c r="J69" s="584">
        <f t="shared" si="7"/>
        <v>1977160</v>
      </c>
      <c r="K69" s="584">
        <f>SUM(J69*2.5%)</f>
        <v>49429</v>
      </c>
      <c r="L69" s="587"/>
      <c r="M69" s="617"/>
      <c r="N69" s="600">
        <f>100000-I69</f>
        <v>50000</v>
      </c>
      <c r="O69" s="600">
        <f>50000-H69</f>
        <v>557</v>
      </c>
      <c r="P69">
        <f>75000-H69</f>
        <v>25557</v>
      </c>
    </row>
    <row r="70" ht="16" customHeight="1" spans="1:16">
      <c r="A70" s="93">
        <f>A69+1</f>
        <v>63</v>
      </c>
      <c r="B70" s="614" t="s">
        <v>505</v>
      </c>
      <c r="C70" s="1045" t="s">
        <v>506</v>
      </c>
      <c r="D70" s="583">
        <v>9730001</v>
      </c>
      <c r="E70" s="594">
        <v>9269496</v>
      </c>
      <c r="F70" s="1044" t="s">
        <v>335</v>
      </c>
      <c r="G70" s="596"/>
      <c r="H70" s="596">
        <v>250000</v>
      </c>
      <c r="I70" s="586">
        <f t="shared" si="8"/>
        <v>250000</v>
      </c>
      <c r="J70" s="584">
        <f t="shared" si="7"/>
        <v>9269496</v>
      </c>
      <c r="K70" s="584">
        <f>SUM(J70*2.5%)</f>
        <v>231737.4</v>
      </c>
      <c r="L70" s="587">
        <v>833651</v>
      </c>
      <c r="M70" s="617"/>
      <c r="N70" s="604">
        <f>L70-H70</f>
        <v>583651</v>
      </c>
      <c r="O70" s="600">
        <f>H70-K70</f>
        <v>18262.6</v>
      </c>
    </row>
    <row r="71" ht="16" customHeight="1" spans="1:16">
      <c r="A71" s="93">
        <f>A70+1</f>
        <v>64</v>
      </c>
      <c r="B71" s="614" t="s">
        <v>507</v>
      </c>
      <c r="C71" s="582"/>
      <c r="D71" s="583">
        <v>13000000</v>
      </c>
      <c r="E71" s="584">
        <v>11055597</v>
      </c>
      <c r="F71" s="585"/>
      <c r="G71" s="586"/>
      <c r="H71" s="622"/>
      <c r="I71" s="586">
        <f t="shared" ref="I71:I85" si="14">G71+H71</f>
        <v>0</v>
      </c>
      <c r="J71" s="584">
        <f t="shared" ref="J71:J80" si="15">SUM(E71-G71)</f>
        <v>11055597</v>
      </c>
      <c r="K71" s="584"/>
      <c r="L71" s="587"/>
      <c r="M71" s="617" t="s">
        <v>452</v>
      </c>
      <c r="P71" t="e">
        <f>#REF!+#REF!</f>
        <v>#REF!</v>
      </c>
    </row>
    <row r="72" ht="16" customHeight="1" spans="1:16">
      <c r="A72" s="93">
        <f>A71+1</f>
        <v>65</v>
      </c>
      <c r="B72" s="614" t="s">
        <v>508</v>
      </c>
      <c r="C72" s="1042" t="s">
        <v>509</v>
      </c>
      <c r="D72" s="583">
        <v>2392272</v>
      </c>
      <c r="E72" s="584">
        <v>2183315</v>
      </c>
      <c r="F72" s="585"/>
      <c r="G72" s="586"/>
      <c r="H72" s="586"/>
      <c r="I72" s="586">
        <f t="shared" si="14"/>
        <v>0</v>
      </c>
      <c r="J72" s="584">
        <f t="shared" si="15"/>
        <v>2183315</v>
      </c>
      <c r="K72" s="584">
        <f>SUM(J72*2.5%)</f>
        <v>54582.875</v>
      </c>
      <c r="L72" s="587">
        <v>473328</v>
      </c>
      <c r="M72" s="588"/>
      <c r="N72" s="604">
        <f>L72+K72</f>
        <v>527910.875</v>
      </c>
    </row>
    <row r="73" ht="16" customHeight="1" spans="1:16">
      <c r="A73" s="93">
        <f>A72+1</f>
        <v>66</v>
      </c>
      <c r="B73" s="614" t="s">
        <v>510</v>
      </c>
      <c r="C73" s="1045" t="s">
        <v>511</v>
      </c>
      <c r="D73" s="583">
        <v>1709300</v>
      </c>
      <c r="E73" s="594">
        <v>1650728</v>
      </c>
      <c r="F73" s="595"/>
      <c r="G73" s="596"/>
      <c r="H73" s="596"/>
      <c r="I73" s="586">
        <f t="shared" si="14"/>
        <v>0</v>
      </c>
      <c r="J73" s="584">
        <f t="shared" si="15"/>
        <v>1650728</v>
      </c>
      <c r="K73" s="584"/>
      <c r="L73" s="587"/>
      <c r="M73" s="617" t="s">
        <v>434</v>
      </c>
      <c r="N73" s="604"/>
    </row>
    <row r="74" ht="16" customHeight="1" spans="1:16">
      <c r="A74" s="93">
        <f>A73+1</f>
        <v>67</v>
      </c>
      <c r="B74" s="614" t="s">
        <v>512</v>
      </c>
      <c r="C74" s="592"/>
      <c r="D74" s="583">
        <v>9484820</v>
      </c>
      <c r="E74" s="594">
        <v>6670534</v>
      </c>
      <c r="F74" s="595"/>
      <c r="G74" s="596"/>
      <c r="H74" s="596"/>
      <c r="I74" s="586">
        <f t="shared" si="14"/>
        <v>0</v>
      </c>
      <c r="J74" s="584">
        <f t="shared" si="15"/>
        <v>6670534</v>
      </c>
      <c r="K74" s="584">
        <f>SUM(J74*2.5%)</f>
        <v>166763.35</v>
      </c>
      <c r="L74" s="587">
        <v>50868</v>
      </c>
      <c r="M74" s="588"/>
      <c r="N74" s="600">
        <f>L74-O74</f>
        <v>217631.35</v>
      </c>
      <c r="O74" s="600">
        <f>H74-K74</f>
        <v>-166763.35</v>
      </c>
      <c r="P74" s="604"/>
    </row>
    <row r="75" ht="16" customHeight="1" spans="1:16">
      <c r="A75" s="93">
        <f>A74+1</f>
        <v>68</v>
      </c>
      <c r="B75" s="614" t="s">
        <v>513</v>
      </c>
      <c r="C75" s="1042" t="s">
        <v>514</v>
      </c>
      <c r="D75" s="583">
        <v>2742730</v>
      </c>
      <c r="E75" s="584">
        <v>992595</v>
      </c>
      <c r="F75" s="585"/>
      <c r="G75" s="586"/>
      <c r="H75" s="586"/>
      <c r="I75" s="586">
        <f t="shared" si="14"/>
        <v>0</v>
      </c>
      <c r="J75" s="584">
        <f t="shared" si="15"/>
        <v>992595</v>
      </c>
      <c r="K75" s="584">
        <f>SUM(J75*2.5%)</f>
        <v>24814.875</v>
      </c>
      <c r="L75" s="587">
        <v>198520</v>
      </c>
      <c r="M75" s="588"/>
      <c r="N75" s="600">
        <f>L75+K75</f>
        <v>223334.875</v>
      </c>
      <c r="O75" s="604">
        <f>L75+K75</f>
        <v>223334.875</v>
      </c>
      <c r="P75">
        <f>O75/K75</f>
        <v>9.00004029840972</v>
      </c>
    </row>
    <row r="76" ht="16" customHeight="1" spans="1:16">
      <c r="A76" s="93">
        <f>A75+1</f>
        <v>69</v>
      </c>
      <c r="B76" s="614" t="s">
        <v>515</v>
      </c>
      <c r="C76" s="1042" t="str">
        <f>C75</f>
        <v>15-09-2023</v>
      </c>
      <c r="D76" s="583">
        <v>5959400</v>
      </c>
      <c r="E76" s="584">
        <v>3452684</v>
      </c>
      <c r="F76" s="1043" t="s">
        <v>335</v>
      </c>
      <c r="G76" s="586">
        <v>113683</v>
      </c>
      <c r="H76" s="586">
        <v>86317</v>
      </c>
      <c r="I76" s="586">
        <f t="shared" si="14"/>
        <v>200000</v>
      </c>
      <c r="J76" s="584">
        <f t="shared" si="15"/>
        <v>3339001</v>
      </c>
      <c r="K76" s="584">
        <f>SUM(J76*2.5%)</f>
        <v>83475.025</v>
      </c>
      <c r="L76" s="613"/>
      <c r="M76" s="617"/>
      <c r="N76" s="600">
        <f>L75/K75</f>
        <v>8.00004029840972</v>
      </c>
      <c r="O76" s="604">
        <f>100000-H76</f>
        <v>13683</v>
      </c>
      <c r="P76">
        <f>1000000-H76</f>
        <v>913683</v>
      </c>
    </row>
    <row r="77" ht="16" customHeight="1" spans="1:16">
      <c r="A77" s="93">
        <f>A76+1</f>
        <v>70</v>
      </c>
      <c r="B77" s="614" t="s">
        <v>516</v>
      </c>
      <c r="C77" s="582" t="e">
        <f>#REF!</f>
        <v>#REF!</v>
      </c>
      <c r="D77" s="583">
        <v>750000</v>
      </c>
      <c r="E77" s="584">
        <v>67500</v>
      </c>
      <c r="F77" s="585"/>
      <c r="G77" s="586"/>
      <c r="H77" s="586"/>
      <c r="I77" s="586">
        <f t="shared" si="14"/>
        <v>0</v>
      </c>
      <c r="J77" s="584">
        <f t="shared" si="15"/>
        <v>67500</v>
      </c>
      <c r="K77" s="584"/>
      <c r="L77" s="613"/>
      <c r="M77" s="588"/>
    </row>
    <row r="78" ht="16" customHeight="1" spans="1:16">
      <c r="A78" s="93">
        <f t="shared" ref="A78:A109" si="16">A77+1</f>
        <v>71</v>
      </c>
      <c r="B78" s="614" t="s">
        <v>517</v>
      </c>
      <c r="C78" s="1042" t="s">
        <v>518</v>
      </c>
      <c r="D78" s="583">
        <v>20000000</v>
      </c>
      <c r="E78" s="584">
        <v>17369342</v>
      </c>
      <c r="F78" s="1043" t="s">
        <v>335</v>
      </c>
      <c r="G78" s="586">
        <v>315766</v>
      </c>
      <c r="H78" s="586">
        <v>434234</v>
      </c>
      <c r="I78" s="586">
        <f>G78+H78</f>
        <v>750000</v>
      </c>
      <c r="J78" s="584">
        <f>SUM(E78-G78)</f>
        <v>17053576</v>
      </c>
      <c r="K78" s="584">
        <f>SUM(J78*2.5%)</f>
        <v>426339.4</v>
      </c>
      <c r="L78" s="613"/>
      <c r="M78" s="588"/>
      <c r="N78" s="600"/>
      <c r="O78" s="600">
        <f>250000-H78</f>
        <v>-184234</v>
      </c>
      <c r="P78">
        <f>750000-H78</f>
        <v>315766</v>
      </c>
    </row>
    <row r="79" ht="16" customHeight="1" spans="1:16">
      <c r="A79" s="93">
        <f t="shared" si="16"/>
        <v>72</v>
      </c>
      <c r="B79" s="614" t="s">
        <v>519</v>
      </c>
      <c r="C79" s="1042" t="s">
        <v>520</v>
      </c>
      <c r="D79" s="583">
        <v>1959200</v>
      </c>
      <c r="E79" s="584">
        <v>917642</v>
      </c>
      <c r="F79" s="585"/>
      <c r="G79" s="586"/>
      <c r="H79" s="586"/>
      <c r="I79" s="586">
        <f>G79+H79</f>
        <v>0</v>
      </c>
      <c r="J79" s="584">
        <f t="shared" ref="J79:J113" si="17">SUM(E79-G79)</f>
        <v>917642</v>
      </c>
      <c r="K79" s="584">
        <f t="shared" ref="K79:K87" si="18">SUM(J79*2.5%)</f>
        <v>22941.05</v>
      </c>
      <c r="L79" s="587"/>
      <c r="M79" s="588">
        <f>100000-H79</f>
        <v>100000</v>
      </c>
      <c r="N79" s="604">
        <f>L79+K79</f>
        <v>22941.05</v>
      </c>
      <c r="O79" s="600"/>
      <c r="P79" s="600"/>
    </row>
    <row r="80" ht="16" customHeight="1" spans="1:16">
      <c r="A80" s="93">
        <f t="shared" si="16"/>
        <v>73</v>
      </c>
      <c r="B80" s="614" t="s">
        <v>521</v>
      </c>
      <c r="C80" s="1042" t="s">
        <v>522</v>
      </c>
      <c r="D80" s="583">
        <v>2000000</v>
      </c>
      <c r="E80" s="584">
        <v>1807838</v>
      </c>
      <c r="F80" s="585"/>
      <c r="G80" s="586"/>
      <c r="H80" s="586"/>
      <c r="I80" s="586">
        <f>G80+H80</f>
        <v>0</v>
      </c>
      <c r="J80" s="584">
        <f t="shared" si="17"/>
        <v>1807838</v>
      </c>
      <c r="K80" s="584">
        <f t="shared" si="18"/>
        <v>45195.95</v>
      </c>
      <c r="L80" s="587">
        <v>813528</v>
      </c>
      <c r="M80" s="588"/>
      <c r="N80" s="604">
        <f>L80+K80</f>
        <v>858723.95</v>
      </c>
      <c r="P80" s="600"/>
    </row>
    <row r="81" ht="16" customHeight="1" spans="1:19">
      <c r="A81" s="93">
        <f t="shared" si="16"/>
        <v>74</v>
      </c>
      <c r="B81" s="614" t="s">
        <v>523</v>
      </c>
      <c r="C81" s="1042" t="s">
        <v>524</v>
      </c>
      <c r="D81" s="583">
        <v>2000000</v>
      </c>
      <c r="E81" s="584">
        <v>4134898</v>
      </c>
      <c r="F81" s="585"/>
      <c r="G81" s="586"/>
      <c r="H81" s="586"/>
      <c r="I81" s="586">
        <f>G81+H81</f>
        <v>0</v>
      </c>
      <c r="J81" s="584">
        <f t="shared" si="17"/>
        <v>4134898</v>
      </c>
      <c r="K81" s="584">
        <f t="shared" si="18"/>
        <v>103372.45</v>
      </c>
      <c r="L81" s="613">
        <v>1147208</v>
      </c>
      <c r="M81" s="588"/>
      <c r="N81" s="600">
        <f>L81+K81</f>
        <v>1250580.45</v>
      </c>
      <c r="O81" s="604"/>
    </row>
    <row r="82" ht="16" customHeight="1" spans="1:19">
      <c r="A82" s="93">
        <f t="shared" si="16"/>
        <v>75</v>
      </c>
      <c r="B82" s="614" t="s">
        <v>525</v>
      </c>
      <c r="C82" s="1042" t="s">
        <v>526</v>
      </c>
      <c r="D82" s="583">
        <v>5000000</v>
      </c>
      <c r="E82" s="584">
        <v>1321650</v>
      </c>
      <c r="F82" s="585"/>
      <c r="G82" s="596"/>
      <c r="H82" s="586"/>
      <c r="I82" s="586">
        <f>G82+H82</f>
        <v>0</v>
      </c>
      <c r="J82" s="584">
        <f t="shared" si="17"/>
        <v>1321650</v>
      </c>
      <c r="K82" s="584">
        <f t="shared" si="18"/>
        <v>33041.25</v>
      </c>
      <c r="L82" s="613"/>
      <c r="M82" s="588"/>
      <c r="N82" s="604"/>
      <c r="O82" s="604">
        <f>50000-H82</f>
        <v>50000</v>
      </c>
    </row>
    <row r="83" ht="16" customHeight="1" spans="1:19">
      <c r="A83" s="93">
        <f t="shared" si="16"/>
        <v>76</v>
      </c>
      <c r="B83" s="623" t="s">
        <v>527</v>
      </c>
      <c r="C83" s="1047" t="s">
        <v>528</v>
      </c>
      <c r="D83" s="625">
        <v>1500000</v>
      </c>
      <c r="E83" s="626">
        <v>1338790</v>
      </c>
      <c r="F83" s="627"/>
      <c r="G83" s="628"/>
      <c r="H83" s="628"/>
      <c r="I83" s="586">
        <f t="shared" ref="I83:I118" si="19">G83+H83</f>
        <v>0</v>
      </c>
      <c r="J83" s="584">
        <f t="shared" si="17"/>
        <v>1338790</v>
      </c>
      <c r="K83" s="584">
        <f t="shared" si="18"/>
        <v>33469.75</v>
      </c>
      <c r="L83" s="629">
        <v>401640</v>
      </c>
      <c r="M83" s="617"/>
      <c r="N83" s="604">
        <f>L83+K83</f>
        <v>435109.75</v>
      </c>
    </row>
    <row r="84" ht="16" customHeight="1" spans="1:19">
      <c r="A84" s="93">
        <f t="shared" si="16"/>
        <v>77</v>
      </c>
      <c r="B84" s="623" t="s">
        <v>529</v>
      </c>
      <c r="C84" s="1047" t="s">
        <v>530</v>
      </c>
      <c r="D84" s="625">
        <v>1500000</v>
      </c>
      <c r="E84" s="626">
        <v>724319</v>
      </c>
      <c r="F84" s="627"/>
      <c r="G84" s="628"/>
      <c r="H84" s="630"/>
      <c r="I84" s="586">
        <f t="shared" si="19"/>
        <v>0</v>
      </c>
      <c r="J84" s="584">
        <f t="shared" si="17"/>
        <v>724319</v>
      </c>
      <c r="K84" s="584">
        <f t="shared" si="18"/>
        <v>18107.975</v>
      </c>
      <c r="L84" s="629">
        <v>224889</v>
      </c>
      <c r="M84" s="588"/>
      <c r="N84" s="604">
        <f>L84+K84</f>
        <v>242996.975</v>
      </c>
      <c r="O84" s="600"/>
    </row>
    <row r="85" ht="16" customHeight="1" spans="1:19">
      <c r="A85" s="93">
        <f t="shared" si="16"/>
        <v>78</v>
      </c>
      <c r="B85" s="631" t="s">
        <v>531</v>
      </c>
      <c r="C85" s="1048" t="s">
        <v>532</v>
      </c>
      <c r="D85" s="625">
        <v>5000000</v>
      </c>
      <c r="E85" s="626">
        <v>260818</v>
      </c>
      <c r="F85" s="1049" t="s">
        <v>270</v>
      </c>
      <c r="G85" s="628">
        <v>260818</v>
      </c>
      <c r="H85" s="628">
        <v>13040</v>
      </c>
      <c r="I85" s="586">
        <f t="shared" si="19"/>
        <v>273858</v>
      </c>
      <c r="J85" s="584">
        <f t="shared" si="17"/>
        <v>0</v>
      </c>
      <c r="K85" s="584">
        <f t="shared" si="18"/>
        <v>0</v>
      </c>
      <c r="L85" s="629"/>
      <c r="M85" s="588"/>
      <c r="N85" s="600">
        <f>K85+L85</f>
        <v>0</v>
      </c>
      <c r="O85" s="604">
        <f>200000-H85</f>
        <v>186960</v>
      </c>
      <c r="P85" s="619">
        <f>J85+K85</f>
        <v>0</v>
      </c>
      <c r="Q85">
        <f>P85-200000</f>
        <v>-200000</v>
      </c>
    </row>
    <row r="86" ht="16" customHeight="1" spans="1:19">
      <c r="A86" s="93">
        <f t="shared" si="16"/>
        <v>79</v>
      </c>
      <c r="B86" s="631" t="s">
        <v>533</v>
      </c>
      <c r="C86" s="1048" t="s">
        <v>534</v>
      </c>
      <c r="D86" s="625">
        <v>30000000</v>
      </c>
      <c r="E86" s="626">
        <v>28500000</v>
      </c>
      <c r="F86" s="627"/>
      <c r="G86" s="628"/>
      <c r="H86" s="628"/>
      <c r="I86" s="586">
        <f t="shared" si="19"/>
        <v>0</v>
      </c>
      <c r="J86" s="584">
        <f t="shared" si="17"/>
        <v>28500000</v>
      </c>
      <c r="K86" s="584"/>
      <c r="L86" s="629"/>
      <c r="M86" s="588"/>
    </row>
    <row r="87" ht="16" customHeight="1" spans="1:19">
      <c r="A87" s="93">
        <f t="shared" si="16"/>
        <v>80</v>
      </c>
      <c r="B87" s="633" t="s">
        <v>535</v>
      </c>
      <c r="C87" s="1050" t="s">
        <v>536</v>
      </c>
      <c r="D87" s="583">
        <v>2500000</v>
      </c>
      <c r="E87" s="584">
        <v>942761</v>
      </c>
      <c r="F87" s="585"/>
      <c r="G87" s="586"/>
      <c r="H87" s="586"/>
      <c r="I87" s="586">
        <f t="shared" si="19"/>
        <v>0</v>
      </c>
      <c r="J87" s="584">
        <f t="shared" si="17"/>
        <v>942761</v>
      </c>
      <c r="K87" s="584">
        <f t="shared" ref="K87:K103" si="20">SUM(J87*2.5%)</f>
        <v>23569.025</v>
      </c>
      <c r="L87" s="635"/>
      <c r="M87" s="588"/>
      <c r="N87" s="600"/>
      <c r="O87" s="600">
        <f>50000-H87</f>
        <v>50000</v>
      </c>
      <c r="P87" s="600">
        <f>100000-H87</f>
        <v>100000</v>
      </c>
    </row>
    <row r="88" ht="16" customHeight="1" spans="1:19">
      <c r="A88" s="93">
        <f t="shared" si="16"/>
        <v>81</v>
      </c>
      <c r="B88" s="631" t="s">
        <v>537</v>
      </c>
      <c r="C88" s="1048" t="s">
        <v>538</v>
      </c>
      <c r="D88" s="625">
        <v>2900000</v>
      </c>
      <c r="E88" s="626">
        <v>1834678</v>
      </c>
      <c r="F88" s="1049" t="s">
        <v>335</v>
      </c>
      <c r="G88" s="628">
        <v>54133</v>
      </c>
      <c r="H88" s="628">
        <v>45867</v>
      </c>
      <c r="I88" s="586">
        <f t="shared" si="19"/>
        <v>100000</v>
      </c>
      <c r="J88" s="584">
        <f t="shared" si="17"/>
        <v>1780545</v>
      </c>
      <c r="K88" s="584">
        <f t="shared" si="20"/>
        <v>44513.625</v>
      </c>
      <c r="L88" s="629"/>
      <c r="M88" s="588"/>
      <c r="N88" s="600"/>
      <c r="O88" s="600">
        <f>H89-K89</f>
        <v>7897.42499999999</v>
      </c>
      <c r="P88" s="600">
        <f>100000-H88</f>
        <v>54133</v>
      </c>
      <c r="Q88">
        <f>L89-350000</f>
        <v>-77662</v>
      </c>
    </row>
    <row r="89" ht="16" customHeight="1" spans="1:19">
      <c r="A89" s="93">
        <f t="shared" si="16"/>
        <v>82</v>
      </c>
      <c r="B89" s="631" t="s">
        <v>539</v>
      </c>
      <c r="C89" s="1048" t="s">
        <v>540</v>
      </c>
      <c r="D89" s="625">
        <v>13000000</v>
      </c>
      <c r="E89" s="626">
        <v>11684103</v>
      </c>
      <c r="F89" s="1049" t="s">
        <v>335</v>
      </c>
      <c r="G89" s="628"/>
      <c r="H89" s="628">
        <v>300000</v>
      </c>
      <c r="I89" s="586">
        <f t="shared" si="19"/>
        <v>300000</v>
      </c>
      <c r="J89" s="584">
        <f t="shared" si="17"/>
        <v>11684103</v>
      </c>
      <c r="K89" s="584">
        <f t="shared" si="20"/>
        <v>292102.575</v>
      </c>
      <c r="L89" s="629">
        <v>272338</v>
      </c>
      <c r="M89" s="588"/>
      <c r="N89" s="604"/>
      <c r="O89" s="604">
        <f>L89-O88</f>
        <v>264440.575</v>
      </c>
      <c r="P89" s="604">
        <f>H89-K89</f>
        <v>7897.42499999999</v>
      </c>
      <c r="Q89">
        <f>L89-P89</f>
        <v>264440.575</v>
      </c>
      <c r="R89">
        <f>H89-K89</f>
        <v>7897.42499999999</v>
      </c>
      <c r="S89" s="621">
        <f>L89-R89</f>
        <v>264440.575</v>
      </c>
    </row>
    <row r="90" ht="16" customHeight="1" spans="1:19">
      <c r="A90" s="93">
        <f t="shared" si="16"/>
        <v>83</v>
      </c>
      <c r="B90" s="614" t="s">
        <v>541</v>
      </c>
      <c r="C90" s="1050" t="s">
        <v>540</v>
      </c>
      <c r="D90" s="583">
        <v>7500000</v>
      </c>
      <c r="E90" s="584">
        <v>6290180</v>
      </c>
      <c r="F90" s="1043" t="s">
        <v>335</v>
      </c>
      <c r="G90" s="586"/>
      <c r="H90" s="586">
        <v>225000</v>
      </c>
      <c r="I90" s="586">
        <f t="shared" si="19"/>
        <v>225000</v>
      </c>
      <c r="J90" s="584">
        <f t="shared" si="17"/>
        <v>6290180</v>
      </c>
      <c r="K90" s="584">
        <f t="shared" si="20"/>
        <v>157254.5</v>
      </c>
      <c r="L90" s="613">
        <v>21765</v>
      </c>
      <c r="M90" s="636" t="s">
        <v>496</v>
      </c>
      <c r="N90" s="600">
        <f>L90-H90</f>
        <v>-203235</v>
      </c>
      <c r="O90" s="600">
        <f>225000-H90</f>
        <v>0</v>
      </c>
      <c r="P90">
        <f>L90+K90</f>
        <v>179019.5</v>
      </c>
      <c r="Q90">
        <f>450000-H90</f>
        <v>225000</v>
      </c>
    </row>
    <row r="91" ht="16" customHeight="1" spans="1:19">
      <c r="A91" s="93">
        <f t="shared" si="16"/>
        <v>84</v>
      </c>
      <c r="B91" s="637" t="s">
        <v>542</v>
      </c>
      <c r="C91" s="1050" t="s">
        <v>540</v>
      </c>
      <c r="D91" s="598">
        <v>22000000</v>
      </c>
      <c r="E91" s="412">
        <v>5499229</v>
      </c>
      <c r="F91" s="131"/>
      <c r="G91" s="586"/>
      <c r="H91" s="586"/>
      <c r="I91" s="586">
        <f t="shared" si="19"/>
        <v>0</v>
      </c>
      <c r="J91" s="584">
        <f t="shared" si="17"/>
        <v>5499229</v>
      </c>
      <c r="K91" s="584">
        <f t="shared" si="20"/>
        <v>137480.725</v>
      </c>
      <c r="L91" s="613"/>
      <c r="M91" s="588"/>
      <c r="N91" s="604">
        <f>N90-225000</f>
        <v>-428235</v>
      </c>
      <c r="O91" s="600">
        <f>200000-H91</f>
        <v>200000</v>
      </c>
      <c r="P91">
        <f>500000-H91</f>
        <v>500000</v>
      </c>
    </row>
    <row r="92" ht="16" customHeight="1" spans="1:19">
      <c r="A92" s="93">
        <f t="shared" si="16"/>
        <v>85</v>
      </c>
      <c r="B92" s="631" t="s">
        <v>543</v>
      </c>
      <c r="C92" s="1050" t="s">
        <v>544</v>
      </c>
      <c r="D92" s="583">
        <v>2000000</v>
      </c>
      <c r="E92" s="584">
        <v>1931341</v>
      </c>
      <c r="F92" s="585"/>
      <c r="G92" s="586"/>
      <c r="H92" s="586"/>
      <c r="I92" s="586">
        <f t="shared" si="19"/>
        <v>0</v>
      </c>
      <c r="J92" s="584">
        <f t="shared" si="17"/>
        <v>1931341</v>
      </c>
      <c r="K92" s="584">
        <f t="shared" si="20"/>
        <v>48283.525</v>
      </c>
      <c r="L92" s="613">
        <v>667396</v>
      </c>
      <c r="M92" s="588"/>
      <c r="N92" s="604">
        <f>L92+K92</f>
        <v>715679.525</v>
      </c>
      <c r="P92">
        <f>H92-K92</f>
        <v>-48283.525</v>
      </c>
      <c r="Q92">
        <f>L92-P92</f>
        <v>715679.525</v>
      </c>
    </row>
    <row r="93" ht="16" customHeight="1" spans="1:19">
      <c r="A93" s="93">
        <f t="shared" si="16"/>
        <v>86</v>
      </c>
      <c r="B93" s="631" t="s">
        <v>545</v>
      </c>
      <c r="C93" s="1051" t="s">
        <v>546</v>
      </c>
      <c r="D93" s="625">
        <v>6000000</v>
      </c>
      <c r="E93" s="626">
        <v>4412206</v>
      </c>
      <c r="F93" s="627"/>
      <c r="G93" s="628"/>
      <c r="H93" s="628"/>
      <c r="I93" s="586">
        <f t="shared" si="19"/>
        <v>0</v>
      </c>
      <c r="J93" s="584">
        <f t="shared" si="17"/>
        <v>4412206</v>
      </c>
      <c r="K93" s="626">
        <f t="shared" si="20"/>
        <v>110305.15</v>
      </c>
      <c r="L93" s="629"/>
      <c r="M93" s="588"/>
      <c r="O93" s="600">
        <f>K93*2</f>
        <v>220610.3</v>
      </c>
      <c r="P93" s="600">
        <f>200000-H93</f>
        <v>200000</v>
      </c>
    </row>
    <row r="94" ht="16" customHeight="1" spans="1:19">
      <c r="A94" s="93">
        <f t="shared" si="16"/>
        <v>87</v>
      </c>
      <c r="B94" s="631" t="s">
        <v>547</v>
      </c>
      <c r="C94" s="1051" t="s">
        <v>546</v>
      </c>
      <c r="D94" s="625">
        <v>2900000</v>
      </c>
      <c r="E94" s="626">
        <v>2291759</v>
      </c>
      <c r="F94" s="1049" t="s">
        <v>335</v>
      </c>
      <c r="G94" s="628">
        <v>42706</v>
      </c>
      <c r="H94" s="628">
        <v>57294</v>
      </c>
      <c r="I94" s="586">
        <f t="shared" si="19"/>
        <v>100000</v>
      </c>
      <c r="J94" s="584">
        <f t="shared" si="17"/>
        <v>2249053</v>
      </c>
      <c r="K94" s="626">
        <f t="shared" si="20"/>
        <v>56226.325</v>
      </c>
      <c r="L94" s="629"/>
      <c r="M94" s="588"/>
      <c r="N94" s="604">
        <f>100000-K94</f>
        <v>43773.675</v>
      </c>
      <c r="O94" s="604">
        <f>100000-H94</f>
        <v>42706</v>
      </c>
      <c r="P94" s="604">
        <f>200000-K94</f>
        <v>143773.675</v>
      </c>
      <c r="Q94">
        <f>K94+H94</f>
        <v>113520.325</v>
      </c>
      <c r="R94">
        <f>100000-K94</f>
        <v>43773.675</v>
      </c>
    </row>
    <row r="95" ht="16" customHeight="1" spans="1:19">
      <c r="A95" s="93">
        <f t="shared" si="16"/>
        <v>88</v>
      </c>
      <c r="B95" s="631" t="s">
        <v>548</v>
      </c>
      <c r="C95" s="1051" t="s">
        <v>549</v>
      </c>
      <c r="D95" s="625">
        <v>5000000</v>
      </c>
      <c r="E95" s="626">
        <v>4645401</v>
      </c>
      <c r="F95" s="1049" t="s">
        <v>335</v>
      </c>
      <c r="G95" s="628"/>
      <c r="H95" s="628">
        <v>150000</v>
      </c>
      <c r="I95" s="586">
        <f t="shared" si="19"/>
        <v>150000</v>
      </c>
      <c r="J95" s="584">
        <f t="shared" si="17"/>
        <v>4645401</v>
      </c>
      <c r="K95" s="626">
        <f t="shared" si="20"/>
        <v>116135.025</v>
      </c>
      <c r="L95" s="629">
        <v>29080</v>
      </c>
      <c r="M95" s="588"/>
      <c r="N95" s="604"/>
      <c r="O95" s="600">
        <f>H95-K95</f>
        <v>33864.975</v>
      </c>
      <c r="P95" s="610">
        <f>K95+L95</f>
        <v>145215.025</v>
      </c>
      <c r="Q95">
        <f>H95-K95</f>
        <v>33864.975</v>
      </c>
      <c r="R95">
        <f>L95-Q95</f>
        <v>-4784.97499999999</v>
      </c>
    </row>
    <row r="96" ht="16" customHeight="1" spans="1:19">
      <c r="A96" s="93">
        <f t="shared" si="16"/>
        <v>89</v>
      </c>
      <c r="B96" s="631" t="s">
        <v>550</v>
      </c>
      <c r="C96" s="1051" t="s">
        <v>551</v>
      </c>
      <c r="D96" s="625">
        <v>5000000</v>
      </c>
      <c r="E96" s="626">
        <v>3660175</v>
      </c>
      <c r="F96" s="1049" t="s">
        <v>335</v>
      </c>
      <c r="G96" s="628">
        <v>8496</v>
      </c>
      <c r="H96" s="628">
        <v>91504</v>
      </c>
      <c r="I96" s="586">
        <f t="shared" si="19"/>
        <v>100000</v>
      </c>
      <c r="J96" s="584">
        <f t="shared" si="17"/>
        <v>3651679</v>
      </c>
      <c r="K96" s="626">
        <f t="shared" si="20"/>
        <v>91291.975</v>
      </c>
      <c r="L96" s="629"/>
      <c r="M96" s="588"/>
      <c r="N96" s="604"/>
      <c r="O96" s="600">
        <f>100000-H96</f>
        <v>8496</v>
      </c>
      <c r="P96">
        <f>300000-H96</f>
        <v>208496</v>
      </c>
    </row>
    <row r="97" ht="16" customHeight="1" spans="1:19">
      <c r="A97" s="93">
        <f t="shared" si="16"/>
        <v>90</v>
      </c>
      <c r="B97" s="631" t="s">
        <v>552</v>
      </c>
      <c r="C97" s="1051" t="s">
        <v>553</v>
      </c>
      <c r="D97" s="625">
        <v>2000000</v>
      </c>
      <c r="E97" s="626">
        <v>3858055</v>
      </c>
      <c r="F97" s="627"/>
      <c r="G97" s="628"/>
      <c r="H97" s="628"/>
      <c r="I97" s="586">
        <f t="shared" si="19"/>
        <v>0</v>
      </c>
      <c r="J97" s="584">
        <f t="shared" si="17"/>
        <v>3858055</v>
      </c>
      <c r="K97" s="626">
        <f t="shared" si="20"/>
        <v>96451.375</v>
      </c>
      <c r="L97" s="629"/>
      <c r="M97" s="617"/>
      <c r="N97" s="604">
        <f>L97+K97</f>
        <v>96451.375</v>
      </c>
      <c r="O97" s="604">
        <f>200000-H97</f>
        <v>200000</v>
      </c>
      <c r="Q97" s="600">
        <f>L97+K97</f>
        <v>96451.375</v>
      </c>
    </row>
    <row r="98" ht="16" customHeight="1" spans="1:19">
      <c r="A98" s="93">
        <f t="shared" si="16"/>
        <v>91</v>
      </c>
      <c r="B98" s="631" t="s">
        <v>554</v>
      </c>
      <c r="C98" s="1051" t="s">
        <v>555</v>
      </c>
      <c r="D98" s="625">
        <v>1000000</v>
      </c>
      <c r="E98" s="626">
        <v>993293</v>
      </c>
      <c r="F98" s="627"/>
      <c r="G98" s="628"/>
      <c r="H98" s="628"/>
      <c r="I98" s="586">
        <f t="shared" si="19"/>
        <v>0</v>
      </c>
      <c r="J98" s="584">
        <f t="shared" si="17"/>
        <v>993293</v>
      </c>
      <c r="K98" s="626">
        <f t="shared" si="20"/>
        <v>24832.325</v>
      </c>
      <c r="L98" s="629">
        <v>49674</v>
      </c>
      <c r="M98" s="617"/>
      <c r="N98" s="600">
        <f>L98+K98</f>
        <v>74506.325</v>
      </c>
      <c r="O98" s="600"/>
      <c r="P98" s="600"/>
    </row>
    <row r="99" ht="16" customHeight="1" spans="1:19">
      <c r="A99" s="93">
        <f t="shared" si="16"/>
        <v>92</v>
      </c>
      <c r="B99" s="631" t="s">
        <v>556</v>
      </c>
      <c r="C99" s="1051" t="s">
        <v>557</v>
      </c>
      <c r="D99" s="625">
        <v>24000000</v>
      </c>
      <c r="E99" s="626">
        <v>23010132</v>
      </c>
      <c r="F99" s="1049" t="s">
        <v>335</v>
      </c>
      <c r="G99" s="628">
        <v>484747</v>
      </c>
      <c r="H99" s="628">
        <v>575253</v>
      </c>
      <c r="I99" s="586">
        <f t="shared" si="19"/>
        <v>1060000</v>
      </c>
      <c r="J99" s="584">
        <f t="shared" si="17"/>
        <v>22525385</v>
      </c>
      <c r="K99" s="626">
        <f t="shared" si="20"/>
        <v>563134.625</v>
      </c>
      <c r="L99" s="629"/>
      <c r="M99" s="617"/>
      <c r="N99" s="604"/>
      <c r="O99" s="600"/>
      <c r="P99" s="600"/>
    </row>
    <row r="100" ht="16" customHeight="1" spans="1:19">
      <c r="A100" s="93">
        <f t="shared" si="16"/>
        <v>93</v>
      </c>
      <c r="B100" s="631" t="s">
        <v>354</v>
      </c>
      <c r="C100" s="1051" t="s">
        <v>557</v>
      </c>
      <c r="D100" s="625">
        <v>10000000</v>
      </c>
      <c r="E100" s="626">
        <v>7845771</v>
      </c>
      <c r="F100" s="1049" t="s">
        <v>335</v>
      </c>
      <c r="G100" s="628">
        <v>185128</v>
      </c>
      <c r="H100" s="628">
        <v>196144</v>
      </c>
      <c r="I100" s="586">
        <f t="shared" si="19"/>
        <v>381272</v>
      </c>
      <c r="J100" s="584">
        <f t="shared" si="17"/>
        <v>7660643</v>
      </c>
      <c r="K100" s="626">
        <f t="shared" si="20"/>
        <v>191516.075</v>
      </c>
      <c r="L100" s="629"/>
      <c r="M100" s="588"/>
      <c r="N100" s="600"/>
      <c r="O100" s="600">
        <f>250000-H100</f>
        <v>53856</v>
      </c>
    </row>
    <row r="101" ht="16" customHeight="1" spans="1:19">
      <c r="A101" s="93">
        <f t="shared" si="16"/>
        <v>94</v>
      </c>
      <c r="B101" s="631" t="s">
        <v>367</v>
      </c>
      <c r="C101" s="1051" t="s">
        <v>558</v>
      </c>
      <c r="D101" s="625">
        <v>5000000</v>
      </c>
      <c r="E101" s="626">
        <v>5000000</v>
      </c>
      <c r="F101" s="1049" t="s">
        <v>335</v>
      </c>
      <c r="G101" s="628"/>
      <c r="H101" s="628">
        <v>500000</v>
      </c>
      <c r="I101" s="586">
        <f t="shared" si="19"/>
        <v>500000</v>
      </c>
      <c r="J101" s="584">
        <f t="shared" si="17"/>
        <v>5000000</v>
      </c>
      <c r="K101" s="626">
        <f t="shared" si="20"/>
        <v>125000</v>
      </c>
      <c r="L101" s="629"/>
      <c r="M101" s="588"/>
      <c r="N101" s="600">
        <f>L101+K101</f>
        <v>125000</v>
      </c>
      <c r="O101" s="604">
        <f>N101/K101</f>
        <v>1</v>
      </c>
    </row>
    <row r="102" ht="16" customHeight="1" spans="1:19">
      <c r="A102" s="93">
        <f t="shared" si="16"/>
        <v>95</v>
      </c>
      <c r="B102" s="614" t="s">
        <v>559</v>
      </c>
      <c r="C102" s="1052" t="s">
        <v>560</v>
      </c>
      <c r="D102" s="583">
        <v>2900000</v>
      </c>
      <c r="E102" s="584">
        <v>2234321</v>
      </c>
      <c r="F102" s="585"/>
      <c r="G102" s="586"/>
      <c r="H102" s="586"/>
      <c r="I102" s="586">
        <f t="shared" si="19"/>
        <v>0</v>
      </c>
      <c r="J102" s="584">
        <f t="shared" si="17"/>
        <v>2234321</v>
      </c>
      <c r="K102" s="584">
        <f t="shared" si="20"/>
        <v>55858.025</v>
      </c>
      <c r="L102" s="613">
        <v>5858</v>
      </c>
      <c r="M102" s="588"/>
      <c r="N102" s="600"/>
      <c r="O102" s="600">
        <f>100000-H102</f>
        <v>100000</v>
      </c>
      <c r="P102" s="600"/>
    </row>
    <row r="103" ht="16" customHeight="1" spans="1:19">
      <c r="A103" s="93">
        <f t="shared" si="16"/>
        <v>96</v>
      </c>
      <c r="B103" s="614" t="s">
        <v>561</v>
      </c>
      <c r="C103" s="1052" t="s">
        <v>562</v>
      </c>
      <c r="D103" s="583">
        <v>2900000</v>
      </c>
      <c r="E103" s="584">
        <v>2373286</v>
      </c>
      <c r="F103" s="585"/>
      <c r="G103" s="586"/>
      <c r="H103" s="586"/>
      <c r="I103" s="586">
        <f t="shared" si="19"/>
        <v>0</v>
      </c>
      <c r="J103" s="584">
        <f t="shared" si="17"/>
        <v>2373286</v>
      </c>
      <c r="K103" s="584">
        <f t="shared" si="20"/>
        <v>59332.15</v>
      </c>
      <c r="L103" s="613"/>
      <c r="M103" s="588">
        <f>100000-H103</f>
        <v>100000</v>
      </c>
      <c r="N103" s="600">
        <f>K103+L103</f>
        <v>59332.15</v>
      </c>
      <c r="O103" s="600">
        <f>K103+L103</f>
        <v>59332.15</v>
      </c>
      <c r="P103">
        <f>150000-H103</f>
        <v>150000</v>
      </c>
    </row>
    <row r="104" ht="16" customHeight="1" spans="1:19">
      <c r="A104" s="93">
        <f t="shared" si="16"/>
        <v>97</v>
      </c>
      <c r="B104" s="631" t="s">
        <v>563</v>
      </c>
      <c r="C104" s="1051" t="s">
        <v>564</v>
      </c>
      <c r="D104" s="625">
        <v>3000000</v>
      </c>
      <c r="E104" s="626">
        <v>2048566</v>
      </c>
      <c r="F104" s="627"/>
      <c r="G104" s="640"/>
      <c r="H104" s="628"/>
      <c r="I104" s="586">
        <f t="shared" si="19"/>
        <v>0</v>
      </c>
      <c r="J104" s="584">
        <f t="shared" si="17"/>
        <v>2048566</v>
      </c>
      <c r="K104" s="626">
        <f t="shared" ref="K104:K127" si="21">SUM(J104*2.5%)</f>
        <v>51214.15</v>
      </c>
      <c r="L104" s="629">
        <v>2428</v>
      </c>
      <c r="M104" s="588"/>
      <c r="N104" s="600"/>
      <c r="O104" s="604">
        <f>L104+K104</f>
        <v>53642.15</v>
      </c>
      <c r="P104" s="604">
        <f>H104-K104</f>
        <v>-51214.15</v>
      </c>
      <c r="Q104" s="604">
        <f>H104-K104</f>
        <v>-51214.15</v>
      </c>
      <c r="S104">
        <f>K104+L104+H104</f>
        <v>53642.15</v>
      </c>
    </row>
    <row r="105" ht="16" customHeight="1" spans="1:19">
      <c r="A105" s="93">
        <f t="shared" si="16"/>
        <v>98</v>
      </c>
      <c r="B105" s="631" t="s">
        <v>565</v>
      </c>
      <c r="C105" s="638"/>
      <c r="D105" s="625">
        <v>1000000</v>
      </c>
      <c r="E105" s="626">
        <v>933103</v>
      </c>
      <c r="F105" s="627"/>
      <c r="G105" s="628"/>
      <c r="H105" s="628"/>
      <c r="I105" s="586">
        <f t="shared" si="19"/>
        <v>0</v>
      </c>
      <c r="J105" s="584">
        <f t="shared" si="17"/>
        <v>933103</v>
      </c>
      <c r="K105" s="626">
        <f t="shared" si="21"/>
        <v>23327.575</v>
      </c>
      <c r="L105" s="629">
        <v>206560</v>
      </c>
      <c r="M105" s="588"/>
      <c r="N105" s="604">
        <f>L105+K105</f>
        <v>229887.575</v>
      </c>
      <c r="O105" s="604"/>
      <c r="P105" s="604">
        <f>L104-P104</f>
        <v>53642.15</v>
      </c>
      <c r="Q105" s="604">
        <f>L104-Q104</f>
        <v>53642.15</v>
      </c>
      <c r="S105">
        <f>100000-K104-L104</f>
        <v>46357.85</v>
      </c>
    </row>
    <row r="106" ht="16" customHeight="1" spans="1:19">
      <c r="A106" s="93">
        <f t="shared" si="16"/>
        <v>99</v>
      </c>
      <c r="B106" s="631" t="s">
        <v>566</v>
      </c>
      <c r="C106" s="1051" t="s">
        <v>567</v>
      </c>
      <c r="D106" s="625">
        <v>2000000</v>
      </c>
      <c r="E106" s="626">
        <v>1395737</v>
      </c>
      <c r="F106" s="1049" t="s">
        <v>335</v>
      </c>
      <c r="G106" s="628">
        <v>15107</v>
      </c>
      <c r="H106" s="628">
        <v>34893</v>
      </c>
      <c r="I106" s="586">
        <f t="shared" si="19"/>
        <v>50000</v>
      </c>
      <c r="J106" s="584">
        <f t="shared" si="17"/>
        <v>1380630</v>
      </c>
      <c r="K106" s="626">
        <f t="shared" si="21"/>
        <v>34515.75</v>
      </c>
      <c r="L106" s="629"/>
      <c r="M106" s="617"/>
      <c r="N106" s="600"/>
      <c r="O106" s="604">
        <f>50000-H106</f>
        <v>15107</v>
      </c>
      <c r="P106">
        <f>100000-H106</f>
        <v>65107</v>
      </c>
    </row>
    <row r="107" ht="16" customHeight="1" spans="1:19">
      <c r="A107" s="93">
        <f t="shared" si="16"/>
        <v>100</v>
      </c>
      <c r="B107" s="631" t="s">
        <v>568</v>
      </c>
      <c r="C107" s="1051" t="s">
        <v>569</v>
      </c>
      <c r="D107" s="625">
        <v>3750000</v>
      </c>
      <c r="E107" s="626">
        <v>3771094</v>
      </c>
      <c r="F107" s="627"/>
      <c r="G107" s="628"/>
      <c r="H107" s="628"/>
      <c r="I107" s="586">
        <f t="shared" si="19"/>
        <v>0</v>
      </c>
      <c r="J107" s="584">
        <f t="shared" si="17"/>
        <v>3771094</v>
      </c>
      <c r="K107" s="626">
        <f t="shared" si="21"/>
        <v>94277.35</v>
      </c>
      <c r="L107" s="629"/>
      <c r="M107" s="617"/>
      <c r="N107" s="600">
        <f>100000-H107</f>
        <v>100000</v>
      </c>
      <c r="O107" s="604"/>
    </row>
    <row r="108" ht="16" customHeight="1" spans="1:19">
      <c r="A108" s="93">
        <f t="shared" si="16"/>
        <v>101</v>
      </c>
      <c r="B108" s="631" t="s">
        <v>570</v>
      </c>
      <c r="C108" s="638"/>
      <c r="D108" s="625">
        <v>5000000</v>
      </c>
      <c r="E108" s="626">
        <v>5000000</v>
      </c>
      <c r="F108" s="627"/>
      <c r="G108" s="628"/>
      <c r="H108" s="628"/>
      <c r="I108" s="586">
        <f t="shared" si="19"/>
        <v>0</v>
      </c>
      <c r="J108" s="584">
        <f t="shared" si="17"/>
        <v>5000000</v>
      </c>
      <c r="K108" s="626">
        <f t="shared" si="21"/>
        <v>125000</v>
      </c>
      <c r="L108" s="629">
        <v>1000000</v>
      </c>
      <c r="M108" s="588"/>
      <c r="O108" s="600"/>
    </row>
    <row r="109" ht="16" customHeight="1" spans="1:19">
      <c r="A109" s="93">
        <f t="shared" si="16"/>
        <v>102</v>
      </c>
      <c r="B109" s="631" t="s">
        <v>571</v>
      </c>
      <c r="C109" s="1051" t="s">
        <v>572</v>
      </c>
      <c r="D109" s="625">
        <v>15000000</v>
      </c>
      <c r="E109" s="626">
        <v>12032100</v>
      </c>
      <c r="F109" s="1049" t="s">
        <v>255</v>
      </c>
      <c r="G109" s="628">
        <v>199197</v>
      </c>
      <c r="H109" s="628">
        <v>300803</v>
      </c>
      <c r="I109" s="586">
        <f t="shared" si="19"/>
        <v>500000</v>
      </c>
      <c r="J109" s="584">
        <f t="shared" si="17"/>
        <v>11832903</v>
      </c>
      <c r="K109" s="626">
        <f t="shared" si="21"/>
        <v>295822.575</v>
      </c>
      <c r="L109" s="629"/>
      <c r="M109" s="588"/>
      <c r="N109" s="600">
        <f>500000-H109</f>
        <v>199197</v>
      </c>
      <c r="O109" s="600">
        <f>500000-H109</f>
        <v>199197</v>
      </c>
    </row>
    <row r="110" ht="16" customHeight="1" spans="1:19">
      <c r="A110" s="93">
        <f t="shared" ref="A110:A141" si="22">A109+1</f>
        <v>103</v>
      </c>
      <c r="B110" s="631" t="s">
        <v>573</v>
      </c>
      <c r="C110" s="1051" t="s">
        <v>574</v>
      </c>
      <c r="D110" s="625">
        <v>1500000</v>
      </c>
      <c r="E110" s="626">
        <v>110239</v>
      </c>
      <c r="F110" s="627"/>
      <c r="G110" s="628"/>
      <c r="H110" s="628"/>
      <c r="I110" s="586">
        <f t="shared" si="19"/>
        <v>0</v>
      </c>
      <c r="J110" s="584">
        <f t="shared" si="17"/>
        <v>110239</v>
      </c>
      <c r="K110" s="626">
        <f t="shared" si="21"/>
        <v>2755.975</v>
      </c>
      <c r="L110" s="629"/>
      <c r="M110" s="617"/>
      <c r="N110" s="600"/>
      <c r="O110" s="600">
        <f>50000-H110</f>
        <v>50000</v>
      </c>
      <c r="P110">
        <f>12000-H110</f>
        <v>12000</v>
      </c>
      <c r="Q110">
        <f>50000-H110</f>
        <v>50000</v>
      </c>
      <c r="R110">
        <f>H110+K110</f>
        <v>2755.975</v>
      </c>
      <c r="S110">
        <f>50000-K110</f>
        <v>47244.025</v>
      </c>
    </row>
    <row r="111" ht="16" customHeight="1" spans="1:19">
      <c r="A111" s="93">
        <f t="shared" si="22"/>
        <v>104</v>
      </c>
      <c r="B111" s="641" t="s">
        <v>359</v>
      </c>
      <c r="C111" s="1047" t="s">
        <v>575</v>
      </c>
      <c r="D111" s="642">
        <v>3000000</v>
      </c>
      <c r="E111" s="626">
        <v>1791433</v>
      </c>
      <c r="F111" s="1049" t="s">
        <v>335</v>
      </c>
      <c r="G111" s="628">
        <v>105214</v>
      </c>
      <c r="H111" s="628">
        <v>44786</v>
      </c>
      <c r="I111" s="586">
        <f t="shared" si="19"/>
        <v>150000</v>
      </c>
      <c r="J111" s="584">
        <f t="shared" si="17"/>
        <v>1686219</v>
      </c>
      <c r="K111" s="626">
        <f t="shared" si="21"/>
        <v>42155.475</v>
      </c>
      <c r="L111" s="643"/>
      <c r="M111" s="599"/>
      <c r="N111" s="600">
        <f>J111+K111</f>
        <v>1728374.475</v>
      </c>
      <c r="O111" s="600">
        <f>150000-H111</f>
        <v>105214</v>
      </c>
      <c r="P111" s="610">
        <f>120000-K111</f>
        <v>77844.525</v>
      </c>
    </row>
    <row r="112" ht="16" customHeight="1" spans="1:19">
      <c r="A112" s="93">
        <f t="shared" si="22"/>
        <v>105</v>
      </c>
      <c r="B112" s="641" t="s">
        <v>576</v>
      </c>
      <c r="C112" s="1047" t="s">
        <v>577</v>
      </c>
      <c r="D112" s="642">
        <v>16000000</v>
      </c>
      <c r="E112" s="626">
        <v>15173466</v>
      </c>
      <c r="F112" s="1049" t="s">
        <v>335</v>
      </c>
      <c r="G112" s="628">
        <v>120663</v>
      </c>
      <c r="H112" s="628">
        <v>379337</v>
      </c>
      <c r="I112" s="586">
        <f t="shared" si="19"/>
        <v>500000</v>
      </c>
      <c r="J112" s="584">
        <f t="shared" si="17"/>
        <v>15052803</v>
      </c>
      <c r="K112" s="626">
        <f t="shared" si="21"/>
        <v>376320.075</v>
      </c>
      <c r="L112" s="643"/>
      <c r="M112" s="599"/>
      <c r="N112" s="600">
        <f>500000-H112</f>
        <v>120663</v>
      </c>
      <c r="O112" s="600">
        <f>350000-H112</f>
        <v>-29337</v>
      </c>
      <c r="P112" s="600"/>
      <c r="Q112" s="619" t="e">
        <f>#REF!+#REF!</f>
        <v>#REF!</v>
      </c>
    </row>
    <row r="113" ht="16" customHeight="1" spans="1:17">
      <c r="A113" s="93">
        <f t="shared" si="22"/>
        <v>106</v>
      </c>
      <c r="B113" s="641" t="s">
        <v>578</v>
      </c>
      <c r="C113" s="1047" t="s">
        <v>579</v>
      </c>
      <c r="D113" s="642">
        <v>2000000</v>
      </c>
      <c r="E113" s="626">
        <v>1340987</v>
      </c>
      <c r="F113" s="627"/>
      <c r="G113" s="628"/>
      <c r="H113" s="628"/>
      <c r="I113" s="586">
        <f t="shared" si="19"/>
        <v>0</v>
      </c>
      <c r="J113" s="584">
        <f t="shared" si="17"/>
        <v>1340987</v>
      </c>
      <c r="K113" s="626">
        <f t="shared" si="21"/>
        <v>33524.675</v>
      </c>
      <c r="L113" s="643"/>
      <c r="M113" s="599"/>
      <c r="N113" s="600"/>
      <c r="O113" s="600"/>
      <c r="P113" s="600"/>
      <c r="Q113" s="619"/>
    </row>
    <row r="114" ht="16" customHeight="1" spans="1:17">
      <c r="A114" s="93">
        <f t="shared" si="22"/>
        <v>107</v>
      </c>
      <c r="B114" s="641" t="s">
        <v>362</v>
      </c>
      <c r="C114" s="1047" t="s">
        <v>580</v>
      </c>
      <c r="D114" s="642">
        <v>3000000</v>
      </c>
      <c r="E114" s="626">
        <v>1954585</v>
      </c>
      <c r="F114" s="1049" t="s">
        <v>335</v>
      </c>
      <c r="G114" s="628">
        <v>201135</v>
      </c>
      <c r="H114" s="628">
        <v>48865</v>
      </c>
      <c r="I114" s="586">
        <f t="shared" si="19"/>
        <v>250000</v>
      </c>
      <c r="J114" s="584">
        <f t="shared" ref="J114:J129" si="23">SUM(E114-G114)</f>
        <v>1753450</v>
      </c>
      <c r="K114" s="626">
        <f t="shared" si="21"/>
        <v>43836.25</v>
      </c>
      <c r="L114" s="643"/>
      <c r="M114" s="599"/>
      <c r="N114" s="600">
        <f>L114+K114</f>
        <v>43836.25</v>
      </c>
      <c r="O114" s="600">
        <f>250000-K114</f>
        <v>206163.75</v>
      </c>
      <c r="P114">
        <f>200000-H114</f>
        <v>151135</v>
      </c>
      <c r="Q114" s="619" t="e">
        <f>10000000-Q112</f>
        <v>#REF!</v>
      </c>
    </row>
    <row r="115" ht="16" customHeight="1" spans="1:17">
      <c r="A115" s="93">
        <f t="shared" si="22"/>
        <v>108</v>
      </c>
      <c r="B115" s="641" t="s">
        <v>380</v>
      </c>
      <c r="C115" s="1047" t="s">
        <v>580</v>
      </c>
      <c r="D115" s="642">
        <v>3500000</v>
      </c>
      <c r="E115" s="626">
        <v>2391341</v>
      </c>
      <c r="F115" s="1049" t="s">
        <v>335</v>
      </c>
      <c r="G115" s="628">
        <v>140216</v>
      </c>
      <c r="H115" s="628">
        <v>59784</v>
      </c>
      <c r="I115" s="586">
        <f t="shared" si="19"/>
        <v>200000</v>
      </c>
      <c r="J115" s="584">
        <f t="shared" si="23"/>
        <v>2251125</v>
      </c>
      <c r="K115" s="626">
        <f t="shared" si="21"/>
        <v>56278.125</v>
      </c>
      <c r="L115" s="643"/>
      <c r="M115" s="599"/>
      <c r="N115" s="600">
        <f>L115+K115</f>
        <v>56278.125</v>
      </c>
      <c r="O115" s="600">
        <f>250000-H115</f>
        <v>190216</v>
      </c>
    </row>
    <row r="116" ht="16" customHeight="1" spans="1:17">
      <c r="A116" s="93">
        <f t="shared" si="22"/>
        <v>109</v>
      </c>
      <c r="B116" s="641" t="s">
        <v>581</v>
      </c>
      <c r="C116" s="1047" t="s">
        <v>582</v>
      </c>
      <c r="D116" s="642">
        <v>3500000</v>
      </c>
      <c r="E116" s="626">
        <v>3461555</v>
      </c>
      <c r="F116" s="627"/>
      <c r="G116" s="628"/>
      <c r="H116" s="628"/>
      <c r="I116" s="586">
        <f t="shared" si="19"/>
        <v>0</v>
      </c>
      <c r="J116" s="584">
        <f t="shared" si="23"/>
        <v>3461555</v>
      </c>
      <c r="K116" s="626">
        <f t="shared" si="21"/>
        <v>86538.875</v>
      </c>
      <c r="L116" s="643"/>
      <c r="M116" s="644"/>
      <c r="N116">
        <f>100000-H116</f>
        <v>100000</v>
      </c>
      <c r="O116" s="600">
        <f>100000-H116</f>
        <v>100000</v>
      </c>
    </row>
    <row r="117" ht="16" customHeight="1" spans="1:17">
      <c r="A117" s="93">
        <f t="shared" si="22"/>
        <v>110</v>
      </c>
      <c r="B117" s="641" t="s">
        <v>379</v>
      </c>
      <c r="C117" s="1047" t="s">
        <v>583</v>
      </c>
      <c r="D117" s="642">
        <v>3000000</v>
      </c>
      <c r="E117" s="626">
        <v>2781598</v>
      </c>
      <c r="F117" s="1049" t="s">
        <v>335</v>
      </c>
      <c r="G117" s="628">
        <v>30460</v>
      </c>
      <c r="H117" s="628">
        <v>69540</v>
      </c>
      <c r="I117" s="586">
        <f t="shared" si="19"/>
        <v>100000</v>
      </c>
      <c r="J117" s="584">
        <f t="shared" si="23"/>
        <v>2751138</v>
      </c>
      <c r="K117" s="626">
        <f t="shared" si="21"/>
        <v>68778.45</v>
      </c>
      <c r="L117" s="643"/>
      <c r="M117" s="599"/>
      <c r="O117" s="600">
        <f>100000-H117</f>
        <v>30460</v>
      </c>
      <c r="P117" s="600"/>
    </row>
    <row r="118" ht="16" customHeight="1" spans="1:17">
      <c r="A118" s="93">
        <f t="shared" si="22"/>
        <v>111</v>
      </c>
      <c r="B118" s="641" t="s">
        <v>323</v>
      </c>
      <c r="C118" s="1047" t="s">
        <v>584</v>
      </c>
      <c r="D118" s="642">
        <v>6000000</v>
      </c>
      <c r="E118" s="626">
        <v>1000000</v>
      </c>
      <c r="F118" s="1049" t="s">
        <v>585</v>
      </c>
      <c r="G118" s="628"/>
      <c r="H118" s="628">
        <v>50000</v>
      </c>
      <c r="I118" s="586">
        <f t="shared" si="19"/>
        <v>50000</v>
      </c>
      <c r="J118" s="584">
        <f t="shared" si="23"/>
        <v>1000000</v>
      </c>
      <c r="K118" s="626">
        <f t="shared" si="21"/>
        <v>25000</v>
      </c>
      <c r="L118" s="643"/>
      <c r="M118" s="599"/>
      <c r="O118" s="600"/>
    </row>
    <row r="119" ht="16" customHeight="1" spans="1:17">
      <c r="A119" s="93">
        <f t="shared" si="22"/>
        <v>112</v>
      </c>
      <c r="B119" s="641" t="s">
        <v>586</v>
      </c>
      <c r="C119" s="1047" t="s">
        <v>587</v>
      </c>
      <c r="D119" s="642">
        <v>1500000</v>
      </c>
      <c r="E119" s="626">
        <v>487500</v>
      </c>
      <c r="F119" s="1049" t="s">
        <v>335</v>
      </c>
      <c r="G119" s="628">
        <v>100625</v>
      </c>
      <c r="H119" s="628">
        <v>24375</v>
      </c>
      <c r="I119" s="586">
        <f t="shared" ref="I119:I129" si="24">G119+H119</f>
        <v>125000</v>
      </c>
      <c r="J119" s="584">
        <f t="shared" si="23"/>
        <v>386875</v>
      </c>
      <c r="K119" s="626">
        <f t="shared" ref="K119:K127" si="25">SUM(J119*2.5%)</f>
        <v>9671.875</v>
      </c>
      <c r="L119" s="643"/>
      <c r="M119" s="599"/>
      <c r="N119">
        <f>125000-H119</f>
        <v>100625</v>
      </c>
      <c r="O119" s="600">
        <f>L119+K119</f>
        <v>9671.875</v>
      </c>
    </row>
    <row r="120" ht="16" customHeight="1" spans="1:17">
      <c r="A120" s="93">
        <f t="shared" si="22"/>
        <v>113</v>
      </c>
      <c r="B120" s="641" t="s">
        <v>374</v>
      </c>
      <c r="C120" s="1047" t="s">
        <v>588</v>
      </c>
      <c r="D120" s="642">
        <v>2000000</v>
      </c>
      <c r="E120" s="626">
        <v>1051234</v>
      </c>
      <c r="F120" s="1049" t="s">
        <v>335</v>
      </c>
      <c r="G120" s="628">
        <v>223719</v>
      </c>
      <c r="H120" s="628">
        <v>26281</v>
      </c>
      <c r="I120" s="586">
        <f t="shared" si="24"/>
        <v>250000</v>
      </c>
      <c r="J120" s="584">
        <f t="shared" si="23"/>
        <v>827515</v>
      </c>
      <c r="K120" s="626">
        <f t="shared" si="25"/>
        <v>20687.875</v>
      </c>
      <c r="L120" s="643"/>
      <c r="M120" s="599"/>
      <c r="O120">
        <f>250000-H120</f>
        <v>223719</v>
      </c>
      <c r="P120">
        <f>150000-H120</f>
        <v>123719</v>
      </c>
    </row>
    <row r="121" ht="16" customHeight="1" spans="1:17">
      <c r="A121" s="93">
        <f t="shared" si="22"/>
        <v>114</v>
      </c>
      <c r="B121" s="641" t="s">
        <v>344</v>
      </c>
      <c r="C121" s="1047" t="s">
        <v>589</v>
      </c>
      <c r="D121" s="642">
        <v>5000000</v>
      </c>
      <c r="E121" s="626">
        <v>4154203</v>
      </c>
      <c r="F121" s="1049" t="s">
        <v>335</v>
      </c>
      <c r="G121" s="628">
        <v>296145</v>
      </c>
      <c r="H121" s="628">
        <v>103855</v>
      </c>
      <c r="I121" s="586">
        <f t="shared" si="24"/>
        <v>400000</v>
      </c>
      <c r="J121" s="584">
        <f t="shared" si="23"/>
        <v>3858058</v>
      </c>
      <c r="K121" s="626">
        <f t="shared" si="25"/>
        <v>96451.45</v>
      </c>
      <c r="L121" s="643"/>
      <c r="M121" s="599"/>
      <c r="O121">
        <f>400000-H121</f>
        <v>296145</v>
      </c>
    </row>
    <row r="122" ht="16" customHeight="1" spans="1:17">
      <c r="A122" s="93">
        <f t="shared" si="22"/>
        <v>115</v>
      </c>
      <c r="B122" s="641" t="s">
        <v>384</v>
      </c>
      <c r="C122" s="1047" t="s">
        <v>589</v>
      </c>
      <c r="D122" s="642">
        <v>10000000</v>
      </c>
      <c r="E122" s="626">
        <v>7693281</v>
      </c>
      <c r="F122" s="1049" t="s">
        <v>335</v>
      </c>
      <c r="G122" s="628">
        <v>807668</v>
      </c>
      <c r="H122" s="628">
        <v>192332</v>
      </c>
      <c r="I122" s="586">
        <f t="shared" si="24"/>
        <v>1000000</v>
      </c>
      <c r="J122" s="584">
        <f t="shared" si="23"/>
        <v>6885613</v>
      </c>
      <c r="K122" s="626">
        <f t="shared" si="25"/>
        <v>172140.325</v>
      </c>
      <c r="L122" s="643"/>
      <c r="M122" s="599"/>
      <c r="O122">
        <f>1000000-H122</f>
        <v>807668</v>
      </c>
    </row>
    <row r="123" ht="16" customHeight="1" spans="1:17">
      <c r="A123" s="93">
        <f t="shared" si="22"/>
        <v>116</v>
      </c>
      <c r="B123" s="641" t="s">
        <v>590</v>
      </c>
      <c r="C123" s="1047" t="s">
        <v>591</v>
      </c>
      <c r="D123" s="642">
        <v>15000000</v>
      </c>
      <c r="E123" s="626">
        <v>14500000</v>
      </c>
      <c r="F123" s="1049" t="s">
        <v>262</v>
      </c>
      <c r="G123" s="628">
        <v>37500</v>
      </c>
      <c r="H123" s="628">
        <v>362500</v>
      </c>
      <c r="I123" s="586">
        <f t="shared" si="24"/>
        <v>400000</v>
      </c>
      <c r="J123" s="584">
        <f t="shared" si="23"/>
        <v>14462500</v>
      </c>
      <c r="K123" s="626">
        <f t="shared" si="25"/>
        <v>361562.5</v>
      </c>
      <c r="L123" s="643"/>
      <c r="M123" s="599" t="s">
        <v>496</v>
      </c>
      <c r="O123">
        <f>400000-H123</f>
        <v>37500</v>
      </c>
    </row>
    <row r="124" ht="16" customHeight="1" spans="1:17">
      <c r="A124" s="93">
        <f t="shared" si="22"/>
        <v>117</v>
      </c>
      <c r="B124" s="641" t="s">
        <v>592</v>
      </c>
      <c r="C124" s="1047" t="s">
        <v>593</v>
      </c>
      <c r="D124" s="642">
        <v>1700000</v>
      </c>
      <c r="E124" s="626">
        <v>1594614</v>
      </c>
      <c r="F124" s="1049" t="s">
        <v>255</v>
      </c>
      <c r="G124" s="628">
        <v>20270</v>
      </c>
      <c r="H124" s="628">
        <v>79730</v>
      </c>
      <c r="I124" s="586">
        <f t="shared" si="24"/>
        <v>100000</v>
      </c>
      <c r="J124" s="584">
        <f t="shared" si="23"/>
        <v>1574344</v>
      </c>
      <c r="K124" s="626">
        <f t="shared" si="25"/>
        <v>39358.6</v>
      </c>
      <c r="L124" s="643"/>
      <c r="M124" s="599"/>
      <c r="N124">
        <f>100000-H124</f>
        <v>20270</v>
      </c>
    </row>
    <row r="125" ht="16" customHeight="1" spans="1:17">
      <c r="A125" s="93">
        <f t="shared" si="22"/>
        <v>118</v>
      </c>
      <c r="B125" s="641" t="s">
        <v>378</v>
      </c>
      <c r="C125" s="1047" t="s">
        <v>593</v>
      </c>
      <c r="D125" s="642">
        <v>4000000</v>
      </c>
      <c r="E125" s="626">
        <v>3695000</v>
      </c>
      <c r="F125" s="1049" t="s">
        <v>335</v>
      </c>
      <c r="G125" s="628">
        <v>215250</v>
      </c>
      <c r="H125" s="628">
        <v>184750</v>
      </c>
      <c r="I125" s="586">
        <f t="shared" si="24"/>
        <v>400000</v>
      </c>
      <c r="J125" s="584">
        <f t="shared" si="23"/>
        <v>3479750</v>
      </c>
      <c r="K125" s="626">
        <f t="shared" si="25"/>
        <v>86993.75</v>
      </c>
      <c r="L125" s="643"/>
      <c r="M125" s="645" t="s">
        <v>594</v>
      </c>
      <c r="O125">
        <f>200000-H125</f>
        <v>15250</v>
      </c>
      <c r="P125">
        <f>K125*2</f>
        <v>173987.5</v>
      </c>
      <c r="Q125">
        <f>400000-P125</f>
        <v>226012.5</v>
      </c>
    </row>
    <row r="126" ht="16" customHeight="1" spans="1:17">
      <c r="A126" s="93">
        <f t="shared" si="22"/>
        <v>119</v>
      </c>
      <c r="B126" s="641" t="s">
        <v>279</v>
      </c>
      <c r="C126" s="1047" t="s">
        <v>595</v>
      </c>
      <c r="D126" s="642">
        <v>3000000</v>
      </c>
      <c r="E126" s="626">
        <v>3000000</v>
      </c>
      <c r="F126" s="1049" t="s">
        <v>277</v>
      </c>
      <c r="G126" s="628">
        <v>125000</v>
      </c>
      <c r="H126" s="628">
        <v>75000</v>
      </c>
      <c r="I126" s="586">
        <f t="shared" si="24"/>
        <v>200000</v>
      </c>
      <c r="J126" s="584">
        <f t="shared" si="23"/>
        <v>2875000</v>
      </c>
      <c r="K126" s="626">
        <f t="shared" si="25"/>
        <v>71875</v>
      </c>
      <c r="L126" s="643"/>
      <c r="M126" s="599"/>
    </row>
    <row r="127" ht="16" customHeight="1" spans="1:17">
      <c r="A127" s="93">
        <f t="shared" si="22"/>
        <v>120</v>
      </c>
      <c r="B127" s="641" t="s">
        <v>287</v>
      </c>
      <c r="C127" s="1047" t="s">
        <v>596</v>
      </c>
      <c r="D127" s="642">
        <v>10000000</v>
      </c>
      <c r="E127" s="626">
        <v>10000000</v>
      </c>
      <c r="F127" s="1049" t="s">
        <v>284</v>
      </c>
      <c r="G127" s="628">
        <v>1000000</v>
      </c>
      <c r="H127" s="628">
        <v>250000</v>
      </c>
      <c r="I127" s="586">
        <f t="shared" si="24"/>
        <v>1250000</v>
      </c>
      <c r="J127" s="584">
        <f t="shared" si="23"/>
        <v>9000000</v>
      </c>
      <c r="K127" s="626">
        <f t="shared" si="25"/>
        <v>225000</v>
      </c>
      <c r="L127" s="643"/>
      <c r="M127" s="599"/>
    </row>
    <row r="128" ht="16" customHeight="1" spans="1:17">
      <c r="A128" s="93">
        <f t="shared" si="22"/>
        <v>121</v>
      </c>
      <c r="B128" s="646" t="s">
        <v>597</v>
      </c>
      <c r="C128" s="1053" t="s">
        <v>314</v>
      </c>
      <c r="D128" s="648">
        <v>3000000</v>
      </c>
      <c r="E128" s="649">
        <v>3000000</v>
      </c>
      <c r="F128" s="650"/>
      <c r="G128" s="651"/>
      <c r="H128" s="651"/>
      <c r="I128" s="586">
        <f>G128+H128</f>
        <v>0</v>
      </c>
      <c r="J128" s="584">
        <f>SUM(E128-G128)</f>
        <v>3000000</v>
      </c>
      <c r="K128" s="626">
        <f>SUM(J128*2.5%)</f>
        <v>75000</v>
      </c>
      <c r="L128" s="652"/>
      <c r="M128" s="599"/>
    </row>
    <row r="129" ht="16" customHeight="1" spans="1:13">
      <c r="A129" s="93">
        <f t="shared" si="22"/>
        <v>122</v>
      </c>
      <c r="B129" s="653" t="s">
        <v>598</v>
      </c>
      <c r="C129" s="582"/>
      <c r="D129" s="598">
        <v>11500000</v>
      </c>
      <c r="E129" s="584">
        <v>11000000</v>
      </c>
      <c r="F129" s="585"/>
      <c r="G129" s="586"/>
      <c r="H129" s="586"/>
      <c r="I129" s="586">
        <f>G129+H129</f>
        <v>0</v>
      </c>
      <c r="J129" s="584">
        <f>SUM(E129-G129)</f>
        <v>11000000</v>
      </c>
      <c r="K129" s="626"/>
      <c r="L129" s="584"/>
      <c r="M129" s="599"/>
    </row>
    <row r="130" ht="16" customHeight="1" spans="1:13">
      <c r="A130" s="93">
        <f t="shared" si="22"/>
        <v>123</v>
      </c>
      <c r="B130" s="597" t="s">
        <v>599</v>
      </c>
      <c r="C130" s="582"/>
      <c r="D130" s="598">
        <v>16572000</v>
      </c>
      <c r="E130" s="584">
        <v>15772000</v>
      </c>
      <c r="F130" s="585"/>
      <c r="G130" s="586"/>
      <c r="H130" s="586"/>
      <c r="I130" s="586">
        <f>G130+H130</f>
        <v>0</v>
      </c>
      <c r="J130" s="584">
        <f t="shared" ref="J129:J159" si="26">SUM(E130-G130)</f>
        <v>15772000</v>
      </c>
      <c r="K130" s="626"/>
      <c r="L130" s="606"/>
      <c r="M130" s="607"/>
    </row>
    <row r="131" ht="16" customHeight="1" spans="1:13">
      <c r="A131" s="93">
        <f t="shared" si="22"/>
        <v>124</v>
      </c>
      <c r="B131" s="589" t="s">
        <v>600</v>
      </c>
      <c r="C131" s="582"/>
      <c r="D131" s="583">
        <v>4139170</v>
      </c>
      <c r="E131" s="584">
        <v>3389170</v>
      </c>
      <c r="F131" s="585"/>
      <c r="G131" s="586"/>
      <c r="H131" s="586"/>
      <c r="I131" s="586">
        <f t="shared" ref="I129:I163" si="27">G131+H131</f>
        <v>0</v>
      </c>
      <c r="J131" s="584">
        <f t="shared" si="26"/>
        <v>3389170</v>
      </c>
      <c r="K131" s="626"/>
      <c r="L131" s="602"/>
      <c r="M131" s="612"/>
    </row>
    <row r="132" ht="16" customHeight="1" spans="1:13">
      <c r="A132" s="93">
        <f t="shared" si="22"/>
        <v>125</v>
      </c>
      <c r="B132" s="589" t="s">
        <v>601</v>
      </c>
      <c r="C132" s="582"/>
      <c r="D132" s="583">
        <v>1275846</v>
      </c>
      <c r="E132" s="584">
        <v>975846</v>
      </c>
      <c r="F132" s="585"/>
      <c r="G132" s="586"/>
      <c r="H132" s="586"/>
      <c r="I132" s="586">
        <f t="shared" si="27"/>
        <v>0</v>
      </c>
      <c r="J132" s="584">
        <f t="shared" si="26"/>
        <v>975846</v>
      </c>
      <c r="K132" s="584"/>
      <c r="L132" s="602"/>
      <c r="M132" s="612"/>
    </row>
    <row r="133" ht="16" customHeight="1" spans="1:13">
      <c r="A133" s="93">
        <f t="shared" si="22"/>
        <v>126</v>
      </c>
      <c r="B133" s="654" t="s">
        <v>602</v>
      </c>
      <c r="C133" s="582"/>
      <c r="D133" s="583">
        <v>1000000</v>
      </c>
      <c r="E133" s="584">
        <v>850000</v>
      </c>
      <c r="F133" s="585"/>
      <c r="G133" s="586"/>
      <c r="H133" s="586"/>
      <c r="I133" s="586">
        <f t="shared" si="27"/>
        <v>0</v>
      </c>
      <c r="J133" s="584">
        <f t="shared" si="26"/>
        <v>850000</v>
      </c>
      <c r="K133" s="584"/>
      <c r="L133" s="602"/>
      <c r="M133" s="612"/>
    </row>
    <row r="134" ht="16" customHeight="1" spans="1:13">
      <c r="A134" s="93">
        <f t="shared" si="22"/>
        <v>127</v>
      </c>
      <c r="B134" s="654" t="s">
        <v>603</v>
      </c>
      <c r="C134" s="582"/>
      <c r="D134" s="583">
        <v>1432233</v>
      </c>
      <c r="E134" s="584">
        <v>1432233</v>
      </c>
      <c r="F134" s="585"/>
      <c r="G134" s="586"/>
      <c r="H134" s="586"/>
      <c r="I134" s="586">
        <f t="shared" si="27"/>
        <v>0</v>
      </c>
      <c r="J134" s="584">
        <f t="shared" si="26"/>
        <v>1432233</v>
      </c>
      <c r="K134" s="584"/>
      <c r="L134" s="590"/>
      <c r="M134" s="591"/>
    </row>
    <row r="135" ht="16" customHeight="1" spans="1:13">
      <c r="A135" s="93">
        <f t="shared" si="22"/>
        <v>128</v>
      </c>
      <c r="B135" s="655" t="s">
        <v>604</v>
      </c>
      <c r="C135" s="1045" t="str">
        <f>C42</f>
        <v>06-12-2022</v>
      </c>
      <c r="D135" s="583">
        <v>2042787</v>
      </c>
      <c r="E135" s="594">
        <v>1742787</v>
      </c>
      <c r="F135" s="595"/>
      <c r="G135" s="596"/>
      <c r="H135" s="596"/>
      <c r="I135" s="586">
        <f t="shared" si="27"/>
        <v>0</v>
      </c>
      <c r="J135" s="584">
        <f t="shared" si="26"/>
        <v>1742787</v>
      </c>
      <c r="K135" s="594"/>
      <c r="L135" s="587"/>
      <c r="M135" s="617" t="s">
        <v>452</v>
      </c>
    </row>
    <row r="136" ht="16" customHeight="1" spans="1:13">
      <c r="A136" s="93">
        <f t="shared" si="22"/>
        <v>129</v>
      </c>
      <c r="B136" s="654" t="s">
        <v>605</v>
      </c>
      <c r="C136" s="582"/>
      <c r="D136" s="583">
        <v>1000000</v>
      </c>
      <c r="E136" s="584">
        <v>1000000</v>
      </c>
      <c r="F136" s="585"/>
      <c r="G136" s="586"/>
      <c r="H136" s="586"/>
      <c r="I136" s="586">
        <f t="shared" si="27"/>
        <v>0</v>
      </c>
      <c r="J136" s="584">
        <f t="shared" si="26"/>
        <v>1000000</v>
      </c>
      <c r="K136" s="584"/>
      <c r="L136" s="656"/>
      <c r="M136" s="657"/>
    </row>
    <row r="137" ht="16" customHeight="1" spans="1:13">
      <c r="A137" s="93">
        <f t="shared" si="22"/>
        <v>130</v>
      </c>
      <c r="B137" s="589" t="s">
        <v>606</v>
      </c>
      <c r="C137" s="582"/>
      <c r="D137" s="583">
        <v>980000</v>
      </c>
      <c r="E137" s="584">
        <v>330000</v>
      </c>
      <c r="F137" s="585"/>
      <c r="G137" s="586"/>
      <c r="H137" s="586"/>
      <c r="I137" s="586">
        <f t="shared" si="27"/>
        <v>0</v>
      </c>
      <c r="J137" s="584">
        <f t="shared" si="26"/>
        <v>330000</v>
      </c>
      <c r="K137" s="584"/>
      <c r="L137" s="590"/>
      <c r="M137" s="591"/>
    </row>
    <row r="138" ht="16" customHeight="1" spans="1:13">
      <c r="A138" s="93">
        <f t="shared" si="22"/>
        <v>131</v>
      </c>
      <c r="B138" s="589" t="s">
        <v>607</v>
      </c>
      <c r="C138" s="1042" t="s">
        <v>608</v>
      </c>
      <c r="D138" s="583">
        <v>4149500</v>
      </c>
      <c r="E138" s="584">
        <v>3599500</v>
      </c>
      <c r="F138" s="585"/>
      <c r="G138" s="586"/>
      <c r="H138" s="586"/>
      <c r="I138" s="586">
        <f t="shared" si="27"/>
        <v>0</v>
      </c>
      <c r="J138" s="584">
        <f t="shared" si="26"/>
        <v>3599500</v>
      </c>
      <c r="K138" s="584"/>
      <c r="L138" s="602"/>
      <c r="M138" s="612"/>
    </row>
    <row r="139" ht="16" customHeight="1" spans="1:13">
      <c r="A139" s="93">
        <f t="shared" si="22"/>
        <v>132</v>
      </c>
      <c r="B139" s="589" t="s">
        <v>609</v>
      </c>
      <c r="C139" s="582"/>
      <c r="D139" s="583">
        <v>2000000</v>
      </c>
      <c r="E139" s="584">
        <v>550000</v>
      </c>
      <c r="F139" s="585"/>
      <c r="G139" s="586"/>
      <c r="H139" s="586"/>
      <c r="I139" s="586">
        <f t="shared" si="27"/>
        <v>0</v>
      </c>
      <c r="J139" s="584">
        <f t="shared" si="26"/>
        <v>550000</v>
      </c>
      <c r="K139" s="584"/>
      <c r="L139" s="602"/>
      <c r="M139" s="611" t="s">
        <v>452</v>
      </c>
    </row>
    <row r="140" ht="16" customHeight="1" spans="1:13">
      <c r="A140" s="93">
        <f t="shared" si="22"/>
        <v>133</v>
      </c>
      <c r="B140" s="655" t="s">
        <v>610</v>
      </c>
      <c r="C140" s="1042" t="str">
        <f>C64</f>
        <v>10-04-2023</v>
      </c>
      <c r="D140" s="583">
        <v>2338380</v>
      </c>
      <c r="E140" s="584">
        <v>2338380</v>
      </c>
      <c r="F140" s="585"/>
      <c r="G140" s="586"/>
      <c r="H140" s="586"/>
      <c r="I140" s="586">
        <f t="shared" si="27"/>
        <v>0</v>
      </c>
      <c r="J140" s="584">
        <f t="shared" si="26"/>
        <v>2338380</v>
      </c>
      <c r="K140" s="584"/>
      <c r="L140" s="587"/>
      <c r="M140" s="588" t="s">
        <v>452</v>
      </c>
    </row>
    <row r="141" ht="16" customHeight="1" spans="1:13">
      <c r="A141" s="93">
        <f t="shared" si="22"/>
        <v>134</v>
      </c>
      <c r="B141" s="654" t="s">
        <v>611</v>
      </c>
      <c r="C141" s="582"/>
      <c r="D141" s="583">
        <v>2000000</v>
      </c>
      <c r="E141" s="584">
        <v>1850000</v>
      </c>
      <c r="F141" s="585"/>
      <c r="G141" s="586"/>
      <c r="H141" s="586"/>
      <c r="I141" s="586">
        <f t="shared" si="27"/>
        <v>0</v>
      </c>
      <c r="J141" s="584">
        <f t="shared" si="26"/>
        <v>1850000</v>
      </c>
      <c r="K141" s="584"/>
      <c r="L141" s="587"/>
      <c r="M141" s="588"/>
    </row>
    <row r="142" ht="16" customHeight="1" spans="1:13">
      <c r="A142" s="93">
        <f t="shared" ref="A142:A162" si="28">A141+1</f>
        <v>135</v>
      </c>
      <c r="B142" s="654" t="s">
        <v>612</v>
      </c>
      <c r="C142" s="582"/>
      <c r="D142" s="583">
        <v>5000000</v>
      </c>
      <c r="E142" s="584">
        <v>4400000</v>
      </c>
      <c r="F142" s="585"/>
      <c r="G142" s="586"/>
      <c r="H142" s="586"/>
      <c r="I142" s="586">
        <f t="shared" si="27"/>
        <v>0</v>
      </c>
      <c r="J142" s="584">
        <f t="shared" si="26"/>
        <v>4400000</v>
      </c>
      <c r="K142" s="584"/>
      <c r="L142" s="587"/>
      <c r="M142" s="588"/>
    </row>
    <row r="143" ht="16" customHeight="1" spans="1:13">
      <c r="A143" s="93">
        <f t="shared" si="28"/>
        <v>136</v>
      </c>
      <c r="B143" s="654" t="s">
        <v>613</v>
      </c>
      <c r="C143" s="582"/>
      <c r="D143" s="583">
        <v>2000000</v>
      </c>
      <c r="E143" s="584">
        <v>1970000</v>
      </c>
      <c r="F143" s="585"/>
      <c r="G143" s="586"/>
      <c r="H143" s="586"/>
      <c r="I143" s="586">
        <f t="shared" si="27"/>
        <v>0</v>
      </c>
      <c r="J143" s="584">
        <f t="shared" si="26"/>
        <v>1970000</v>
      </c>
      <c r="K143" s="584"/>
      <c r="L143" s="613"/>
      <c r="M143" s="588"/>
    </row>
    <row r="144" ht="16" customHeight="1" spans="1:13">
      <c r="A144" s="93">
        <f t="shared" si="28"/>
        <v>137</v>
      </c>
      <c r="B144" s="589" t="s">
        <v>614</v>
      </c>
      <c r="C144" s="582"/>
      <c r="D144" s="593">
        <v>815335</v>
      </c>
      <c r="E144" s="584">
        <v>434000</v>
      </c>
      <c r="F144" s="585"/>
      <c r="G144" s="586"/>
      <c r="H144" s="586"/>
      <c r="I144" s="586">
        <f t="shared" si="27"/>
        <v>0</v>
      </c>
      <c r="J144" s="584">
        <f t="shared" si="26"/>
        <v>434000</v>
      </c>
      <c r="K144" s="584"/>
      <c r="L144" s="587"/>
      <c r="M144" s="588"/>
    </row>
    <row r="145" ht="16" customHeight="1" spans="1:13">
      <c r="A145" s="93">
        <f t="shared" si="28"/>
        <v>138</v>
      </c>
      <c r="B145" s="654" t="s">
        <v>615</v>
      </c>
      <c r="C145" s="582"/>
      <c r="D145" s="583">
        <v>2000000</v>
      </c>
      <c r="E145" s="584">
        <v>2000000</v>
      </c>
      <c r="F145" s="585"/>
      <c r="G145" s="586"/>
      <c r="H145" s="586"/>
      <c r="I145" s="586">
        <f t="shared" si="27"/>
        <v>0</v>
      </c>
      <c r="J145" s="584">
        <f t="shared" si="26"/>
        <v>2000000</v>
      </c>
      <c r="K145" s="584"/>
      <c r="L145" s="587"/>
      <c r="M145" s="588"/>
    </row>
    <row r="146" ht="16" customHeight="1" spans="1:13">
      <c r="A146" s="93">
        <f t="shared" si="28"/>
        <v>139</v>
      </c>
      <c r="B146" s="654" t="s">
        <v>616</v>
      </c>
      <c r="C146" s="1042" t="s">
        <v>617</v>
      </c>
      <c r="D146" s="583">
        <v>6793678</v>
      </c>
      <c r="E146" s="584">
        <v>6793678</v>
      </c>
      <c r="F146" s="585"/>
      <c r="G146" s="586"/>
      <c r="H146" s="586"/>
      <c r="I146" s="586">
        <f t="shared" si="27"/>
        <v>0</v>
      </c>
      <c r="J146" s="584">
        <f t="shared" si="26"/>
        <v>6793678</v>
      </c>
      <c r="K146" s="584"/>
      <c r="L146" s="587"/>
      <c r="M146" s="588"/>
    </row>
    <row r="147" ht="16" customHeight="1" spans="1:13">
      <c r="A147" s="93">
        <f t="shared" si="28"/>
        <v>140</v>
      </c>
      <c r="B147" s="658" t="s">
        <v>618</v>
      </c>
      <c r="C147" s="1042" t="s">
        <v>617</v>
      </c>
      <c r="D147" s="659">
        <v>500000</v>
      </c>
      <c r="E147" s="584">
        <v>500000</v>
      </c>
      <c r="F147" s="585"/>
      <c r="G147" s="586"/>
      <c r="H147" s="586"/>
      <c r="I147" s="586">
        <f t="shared" si="27"/>
        <v>0</v>
      </c>
      <c r="J147" s="584">
        <f t="shared" si="26"/>
        <v>500000</v>
      </c>
      <c r="K147" s="584"/>
      <c r="L147" s="660"/>
      <c r="M147" s="661"/>
    </row>
    <row r="148" ht="16" customHeight="1" spans="1:13">
      <c r="A148" s="93">
        <f t="shared" si="28"/>
        <v>141</v>
      </c>
      <c r="B148" s="654" t="s">
        <v>619</v>
      </c>
      <c r="C148" s="1042" t="str">
        <f>C147</f>
        <v>31-01-2019</v>
      </c>
      <c r="D148" s="583">
        <v>1000000</v>
      </c>
      <c r="E148" s="584">
        <v>1000000</v>
      </c>
      <c r="F148" s="585"/>
      <c r="G148" s="586"/>
      <c r="H148" s="586"/>
      <c r="I148" s="586">
        <f t="shared" si="27"/>
        <v>0</v>
      </c>
      <c r="J148" s="584">
        <f t="shared" si="26"/>
        <v>1000000</v>
      </c>
      <c r="K148" s="584"/>
      <c r="L148" s="587"/>
      <c r="M148" s="588"/>
    </row>
    <row r="149" ht="16" customHeight="1" spans="1:13">
      <c r="A149" s="93">
        <f t="shared" si="28"/>
        <v>142</v>
      </c>
      <c r="B149" s="654" t="s">
        <v>620</v>
      </c>
      <c r="C149" s="1042" t="s">
        <v>621</v>
      </c>
      <c r="D149" s="583">
        <v>3000000</v>
      </c>
      <c r="E149" s="584">
        <v>2700000</v>
      </c>
      <c r="F149" s="585"/>
      <c r="G149" s="586"/>
      <c r="H149" s="586"/>
      <c r="I149" s="586">
        <f t="shared" si="27"/>
        <v>0</v>
      </c>
      <c r="J149" s="584">
        <f t="shared" si="26"/>
        <v>2700000</v>
      </c>
      <c r="K149" s="584"/>
      <c r="L149" s="587"/>
      <c r="M149" s="588"/>
    </row>
    <row r="150" ht="16" customHeight="1" spans="1:13">
      <c r="A150" s="93">
        <f t="shared" si="28"/>
        <v>143</v>
      </c>
      <c r="B150" s="581" t="s">
        <v>622</v>
      </c>
      <c r="C150" s="582"/>
      <c r="D150" s="583">
        <v>3500000</v>
      </c>
      <c r="E150" s="584">
        <v>2100000</v>
      </c>
      <c r="F150" s="585"/>
      <c r="G150" s="585"/>
      <c r="H150" s="586"/>
      <c r="I150" s="586">
        <f t="shared" si="27"/>
        <v>0</v>
      </c>
      <c r="J150" s="584">
        <f t="shared" si="26"/>
        <v>2100000</v>
      </c>
      <c r="K150" s="584"/>
      <c r="L150" s="613"/>
      <c r="M150" s="588"/>
    </row>
    <row r="151" ht="16" customHeight="1" spans="1:13">
      <c r="A151" s="93">
        <f t="shared" si="28"/>
        <v>144</v>
      </c>
      <c r="B151" s="655" t="s">
        <v>623</v>
      </c>
      <c r="C151" s="1042" t="s">
        <v>624</v>
      </c>
      <c r="D151" s="583">
        <v>4842135</v>
      </c>
      <c r="E151" s="584">
        <v>4842135</v>
      </c>
      <c r="F151" s="585"/>
      <c r="G151" s="586"/>
      <c r="H151" s="586"/>
      <c r="I151" s="586">
        <f t="shared" si="27"/>
        <v>0</v>
      </c>
      <c r="J151" s="584">
        <f t="shared" si="26"/>
        <v>4842135</v>
      </c>
      <c r="K151" s="584"/>
      <c r="L151" s="613"/>
      <c r="M151" s="588"/>
    </row>
    <row r="152" ht="16" customHeight="1" spans="1:13">
      <c r="A152" s="93">
        <f t="shared" si="28"/>
        <v>145</v>
      </c>
      <c r="B152" s="655" t="s">
        <v>625</v>
      </c>
      <c r="C152" s="582"/>
      <c r="D152" s="583">
        <v>1893910</v>
      </c>
      <c r="E152" s="584">
        <v>1372615</v>
      </c>
      <c r="F152" s="585"/>
      <c r="G152" s="586"/>
      <c r="H152" s="586"/>
      <c r="I152" s="586">
        <f t="shared" si="27"/>
        <v>0</v>
      </c>
      <c r="J152" s="584">
        <f t="shared" si="26"/>
        <v>1372615</v>
      </c>
      <c r="K152" s="584"/>
      <c r="L152" s="587"/>
      <c r="M152" s="588" t="s">
        <v>452</v>
      </c>
    </row>
    <row r="153" ht="16" customHeight="1" spans="1:13">
      <c r="A153" s="93">
        <f t="shared" si="28"/>
        <v>146</v>
      </c>
      <c r="B153" s="581" t="s">
        <v>626</v>
      </c>
      <c r="C153" s="592"/>
      <c r="D153" s="583">
        <v>5000000</v>
      </c>
      <c r="E153" s="594">
        <v>4750000</v>
      </c>
      <c r="F153" s="595"/>
      <c r="G153" s="596"/>
      <c r="H153" s="596"/>
      <c r="I153" s="586">
        <f t="shared" si="27"/>
        <v>0</v>
      </c>
      <c r="J153" s="584">
        <f t="shared" si="26"/>
        <v>4750000</v>
      </c>
      <c r="K153" s="594"/>
      <c r="L153" s="587"/>
      <c r="M153" s="588"/>
    </row>
    <row r="154" ht="16" customHeight="1" spans="1:13">
      <c r="A154" s="93">
        <f t="shared" si="28"/>
        <v>147</v>
      </c>
      <c r="B154" s="581" t="s">
        <v>627</v>
      </c>
      <c r="C154" s="1042" t="s">
        <v>628</v>
      </c>
      <c r="D154" s="583">
        <v>1500000</v>
      </c>
      <c r="E154" s="584">
        <v>1000000</v>
      </c>
      <c r="F154" s="585"/>
      <c r="G154" s="662"/>
      <c r="H154" s="586"/>
      <c r="I154" s="586">
        <f t="shared" si="27"/>
        <v>0</v>
      </c>
      <c r="J154" s="584">
        <f t="shared" si="26"/>
        <v>1000000</v>
      </c>
      <c r="K154" s="584"/>
      <c r="L154" s="587"/>
      <c r="M154" s="588"/>
    </row>
    <row r="155" ht="16" customHeight="1" spans="1:13">
      <c r="A155" s="93">
        <f t="shared" si="28"/>
        <v>148</v>
      </c>
      <c r="B155" s="655" t="s">
        <v>629</v>
      </c>
      <c r="C155" s="582"/>
      <c r="D155" s="583">
        <v>36500000</v>
      </c>
      <c r="E155" s="584">
        <v>36050000</v>
      </c>
      <c r="F155" s="585"/>
      <c r="G155" s="586"/>
      <c r="H155" s="586"/>
      <c r="I155" s="586">
        <f t="shared" si="27"/>
        <v>0</v>
      </c>
      <c r="J155" s="584">
        <f t="shared" si="26"/>
        <v>36050000</v>
      </c>
      <c r="K155" s="584"/>
      <c r="L155" s="587"/>
      <c r="M155" s="588"/>
    </row>
    <row r="156" ht="16" customHeight="1" spans="1:13">
      <c r="A156" s="93">
        <f t="shared" si="28"/>
        <v>149</v>
      </c>
      <c r="B156" s="655" t="s">
        <v>630</v>
      </c>
      <c r="C156" s="1042" t="s">
        <v>631</v>
      </c>
      <c r="D156" s="583">
        <v>1400000</v>
      </c>
      <c r="E156" s="584">
        <v>1300000</v>
      </c>
      <c r="F156" s="585"/>
      <c r="G156" s="586"/>
      <c r="H156" s="586"/>
      <c r="I156" s="586">
        <f t="shared" si="27"/>
        <v>0</v>
      </c>
      <c r="J156" s="584">
        <f t="shared" si="26"/>
        <v>1300000</v>
      </c>
      <c r="K156" s="584"/>
      <c r="L156" s="587"/>
      <c r="M156" s="588"/>
    </row>
    <row r="157" ht="16" customHeight="1" spans="1:13">
      <c r="A157" s="93">
        <f t="shared" si="28"/>
        <v>150</v>
      </c>
      <c r="B157" s="655" t="s">
        <v>632</v>
      </c>
      <c r="C157" s="1042" t="s">
        <v>633</v>
      </c>
      <c r="D157" s="583">
        <v>2329482</v>
      </c>
      <c r="E157" s="584">
        <v>2049482</v>
      </c>
      <c r="F157" s="585"/>
      <c r="G157" s="586"/>
      <c r="H157" s="586"/>
      <c r="I157" s="586">
        <f t="shared" si="27"/>
        <v>0</v>
      </c>
      <c r="J157" s="584">
        <f t="shared" si="26"/>
        <v>2049482</v>
      </c>
      <c r="K157" s="584"/>
      <c r="L157" s="587"/>
      <c r="M157" s="588"/>
    </row>
    <row r="158" ht="16" customHeight="1" spans="1:13">
      <c r="A158" s="93">
        <f t="shared" si="28"/>
        <v>151</v>
      </c>
      <c r="B158" s="581" t="s">
        <v>634</v>
      </c>
      <c r="C158" s="582"/>
      <c r="D158" s="583">
        <v>10000000</v>
      </c>
      <c r="E158" s="584">
        <v>9950000</v>
      </c>
      <c r="F158" s="585"/>
      <c r="G158" s="586"/>
      <c r="H158" s="586"/>
      <c r="I158" s="586">
        <f t="shared" si="27"/>
        <v>0</v>
      </c>
      <c r="J158" s="584">
        <f t="shared" si="26"/>
        <v>9950000</v>
      </c>
      <c r="K158" s="584"/>
      <c r="L158" s="587"/>
      <c r="M158" s="588" t="s">
        <v>452</v>
      </c>
    </row>
    <row r="159" ht="16" customHeight="1" spans="1:13">
      <c r="A159" s="93">
        <f t="shared" si="28"/>
        <v>152</v>
      </c>
      <c r="B159" s="655" t="s">
        <v>635</v>
      </c>
      <c r="C159" s="582"/>
      <c r="D159" s="583">
        <v>2897309</v>
      </c>
      <c r="E159" s="584">
        <v>1897309</v>
      </c>
      <c r="F159" s="585"/>
      <c r="G159" s="586"/>
      <c r="H159" s="586"/>
      <c r="I159" s="586">
        <f t="shared" si="27"/>
        <v>0</v>
      </c>
      <c r="J159" s="584">
        <f t="shared" si="26"/>
        <v>1897309</v>
      </c>
      <c r="K159" s="584"/>
      <c r="L159" s="613"/>
      <c r="M159" s="588"/>
    </row>
    <row r="160" ht="16" customHeight="1" spans="1:13">
      <c r="A160" s="93">
        <f t="shared" si="28"/>
        <v>153</v>
      </c>
      <c r="B160" s="663"/>
      <c r="C160" s="664"/>
      <c r="D160" s="665">
        <f>SUM(D13:D98)</f>
        <v>397642902</v>
      </c>
      <c r="E160" s="666">
        <f>SUM(E13:E98)</f>
        <v>291453909</v>
      </c>
      <c r="F160" s="667"/>
      <c r="G160" s="667">
        <f>SUM(G8:G159)</f>
        <v>6765968</v>
      </c>
      <c r="H160" s="667">
        <f>SUM(H8:H159)</f>
        <v>7191890</v>
      </c>
      <c r="I160" s="662">
        <f>SUM(I8:I159)</f>
        <v>13957858</v>
      </c>
      <c r="J160" s="668">
        <f>SUM(J8:J159)</f>
        <v>617812062</v>
      </c>
      <c r="K160" s="668">
        <f>SUM(K13:K157)</f>
        <v>9355959.55</v>
      </c>
      <c r="L160" s="669">
        <f>SUM(L13:L159)</f>
        <v>13961296</v>
      </c>
      <c r="M160" s="588"/>
    </row>
    <row r="161" ht="16" customHeight="1" spans="1:13">
      <c r="A161" s="93">
        <f t="shared" si="28"/>
        <v>154</v>
      </c>
      <c r="B161" s="670"/>
      <c r="C161" s="671"/>
      <c r="D161" s="672">
        <f t="shared" ref="D161:L161" si="29">D160</f>
        <v>397642902</v>
      </c>
      <c r="E161" s="673">
        <f>SUM(E160)</f>
        <v>291453909</v>
      </c>
      <c r="F161" s="674"/>
      <c r="G161" s="675">
        <f t="shared" si="29"/>
        <v>6765968</v>
      </c>
      <c r="H161" s="675">
        <f t="shared" si="29"/>
        <v>7191890</v>
      </c>
      <c r="I161" s="662">
        <f>G161+H161</f>
        <v>13957858</v>
      </c>
      <c r="J161" s="676">
        <f t="shared" si="29"/>
        <v>617812062</v>
      </c>
      <c r="K161" s="676">
        <f t="shared" si="29"/>
        <v>9355959.55</v>
      </c>
      <c r="L161" s="677">
        <f t="shared" si="29"/>
        <v>13961296</v>
      </c>
      <c r="M161" s="678"/>
    </row>
    <row r="162" ht="16" customHeight="1" spans="1:13">
      <c r="A162" s="93">
        <f t="shared" si="28"/>
        <v>155</v>
      </c>
      <c r="B162" s="679"/>
      <c r="C162" s="680"/>
      <c r="D162" s="681">
        <f t="shared" ref="D162:L162" si="30">D161</f>
        <v>397642902</v>
      </c>
      <c r="E162" s="682">
        <f t="shared" si="30"/>
        <v>291453909</v>
      </c>
      <c r="F162" s="683"/>
      <c r="G162" s="683">
        <f t="shared" si="30"/>
        <v>6765968</v>
      </c>
      <c r="H162" s="683">
        <f t="shared" si="30"/>
        <v>7191890</v>
      </c>
      <c r="I162" s="662">
        <f>G162+H162</f>
        <v>13957858</v>
      </c>
      <c r="J162" s="684">
        <f>J161</f>
        <v>617812062</v>
      </c>
      <c r="K162" s="684">
        <f t="shared" si="30"/>
        <v>9355959.55</v>
      </c>
      <c r="L162" s="685">
        <f t="shared" si="30"/>
        <v>13961296</v>
      </c>
      <c r="M162" s="686"/>
    </row>
    <row r="163" spans="1:13">
      <c r="A163" s="687"/>
      <c r="B163" s="688"/>
      <c r="C163" s="689"/>
      <c r="D163" s="690"/>
      <c r="E163" s="689"/>
      <c r="F163" s="687"/>
      <c r="G163" s="687"/>
      <c r="H163" s="604"/>
      <c r="I163" s="604"/>
      <c r="J163" s="689"/>
      <c r="K163" s="689"/>
      <c r="L163" s="691"/>
      <c r="M163" s="692"/>
    </row>
    <row r="164" spans="1:13">
      <c r="A164" s="693" t="s">
        <v>636</v>
      </c>
      <c r="B164" s="693"/>
      <c r="C164" s="693"/>
      <c r="D164" s="694"/>
      <c r="E164" s="693"/>
      <c r="F164" s="693"/>
      <c r="G164" s="693"/>
      <c r="H164" s="693"/>
      <c r="I164" s="693"/>
      <c r="J164" s="693"/>
      <c r="K164" s="693"/>
      <c r="L164" s="693"/>
      <c r="M164" s="693"/>
    </row>
    <row r="165" spans="1:13">
      <c r="A165" s="695"/>
      <c r="B165" s="693" t="s">
        <v>402</v>
      </c>
      <c r="C165" s="693"/>
      <c r="D165" s="694"/>
      <c r="E165" s="696"/>
      <c r="F165" s="693" t="s">
        <v>637</v>
      </c>
      <c r="G165" s="693"/>
      <c r="H165" s="693"/>
      <c r="I165" s="696"/>
      <c r="J165" s="696"/>
      <c r="K165" s="693" t="s">
        <v>401</v>
      </c>
      <c r="L165" s="693"/>
      <c r="M165" s="562"/>
    </row>
    <row r="166" spans="1:13">
      <c r="A166" s="695"/>
      <c r="B166" s="693" t="s">
        <v>638</v>
      </c>
      <c r="C166" s="693"/>
      <c r="D166" s="694"/>
      <c r="E166" s="696"/>
      <c r="F166" s="693" t="s">
        <v>639</v>
      </c>
      <c r="G166" s="693"/>
      <c r="H166" s="693"/>
      <c r="I166" s="697"/>
      <c r="J166" s="696"/>
      <c r="K166" s="693" t="s">
        <v>115</v>
      </c>
      <c r="L166" s="693"/>
      <c r="M166" s="698"/>
    </row>
    <row r="167" spans="1:13">
      <c r="A167" s="695"/>
      <c r="B167" s="696"/>
      <c r="C167" s="699"/>
      <c r="D167" s="700"/>
      <c r="E167" s="701"/>
      <c r="F167" s="702"/>
      <c r="G167" s="699"/>
      <c r="H167" s="699"/>
      <c r="I167" s="697"/>
      <c r="J167" s="703"/>
      <c r="K167" s="703"/>
      <c r="L167" s="703"/>
      <c r="M167" s="698"/>
    </row>
    <row r="168" spans="1:13">
      <c r="A168" s="695"/>
      <c r="B168" s="699"/>
      <c r="C168" s="116"/>
      <c r="D168" s="704"/>
      <c r="E168" s="116"/>
      <c r="F168" s="697"/>
      <c r="G168" s="699"/>
      <c r="H168" s="699"/>
      <c r="I168" s="697"/>
      <c r="J168" s="703"/>
      <c r="K168" s="703"/>
      <c r="L168" s="703"/>
      <c r="M168" s="698"/>
    </row>
    <row r="169" spans="1:13">
      <c r="A169" s="695"/>
      <c r="B169" s="699"/>
      <c r="C169" s="116"/>
      <c r="D169" s="704"/>
      <c r="E169" s="116"/>
      <c r="F169" s="697"/>
      <c r="G169" s="699"/>
      <c r="H169" s="699"/>
      <c r="I169" s="697"/>
      <c r="J169" s="703"/>
      <c r="K169" s="703"/>
      <c r="L169" s="703"/>
      <c r="M169" s="698"/>
    </row>
    <row r="170" spans="1:13">
      <c r="A170" s="695"/>
      <c r="B170" s="115" t="s">
        <v>640</v>
      </c>
      <c r="C170" s="115"/>
      <c r="D170" s="705"/>
      <c r="E170" s="697"/>
      <c r="F170" s="706" t="s">
        <v>178</v>
      </c>
      <c r="G170" s="706"/>
      <c r="H170" s="706"/>
      <c r="I170" s="696"/>
      <c r="J170" s="697"/>
      <c r="K170" s="115" t="s">
        <v>117</v>
      </c>
      <c r="L170" s="115"/>
      <c r="M170" s="707"/>
    </row>
  </sheetData>
  <mergeCells count="27">
    <mergeCell ref="A2:M2"/>
    <mergeCell ref="A3:M3"/>
    <mergeCell ref="A4:B4"/>
    <mergeCell ref="E5:H5"/>
    <mergeCell ref="F163:G163"/>
    <mergeCell ref="A164:M164"/>
    <mergeCell ref="B165:C165"/>
    <mergeCell ref="F165:H165"/>
    <mergeCell ref="K165:L165"/>
    <mergeCell ref="B166:C166"/>
    <mergeCell ref="F166:H166"/>
    <mergeCell ref="K166:L166"/>
    <mergeCell ref="B170:C170"/>
    <mergeCell ref="F170:H170"/>
    <mergeCell ref="K170:L170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L5:L7"/>
    <mergeCell ref="M5:M7"/>
    <mergeCell ref="J5:K6"/>
  </mergeCells>
  <pageMargins left="0.458333333333333" right="0.75" top="0.898611111111111" bottom="0.569444444444444" header="0.5" footer="0.5"/>
  <pageSetup paperSize="5" scale="95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5"/>
  <sheetViews>
    <sheetView view="pageLayout" zoomScale="80" zoomScaleNormal="100" topLeftCell="A35" workbookViewId="0">
      <selection activeCell="S35" sqref="S35"/>
    </sheetView>
  </sheetViews>
  <sheetFormatPr defaultColWidth="9" defaultRowHeight="14.5"/>
  <cols>
    <col min="1" max="1" width="3.57272727272727" style="354" customWidth="1"/>
    <col min="2" max="2" width="9.54545454545454" style="488" customWidth="1"/>
    <col min="3" max="3" width="16.5454545454545" style="354" customWidth="1"/>
    <col min="4" max="4" width="15.1363636363636" style="354" customWidth="1"/>
    <col min="5" max="5" width="10.7272727272727" style="354" customWidth="1"/>
    <col min="6" max="6" width="11.2727272727273" style="354" customWidth="1"/>
    <col min="7" max="9" width="11.3636363636364" style="354" customWidth="1"/>
    <col min="10" max="10" width="4.81818181818182" style="354" customWidth="1"/>
    <col min="11" max="11" width="3.28181818181818" style="354" customWidth="1"/>
    <col min="12" max="12" width="10" style="354" customWidth="1"/>
    <col min="13" max="13" width="11.1363636363636" style="354" customWidth="1"/>
    <col min="14" max="14" width="10.8545454545455" style="354" customWidth="1"/>
    <col min="15" max="15" width="11.1363636363636" style="354" customWidth="1"/>
    <col min="16" max="16" width="11.4545454545455" style="354" customWidth="1"/>
    <col min="17" max="17" width="11.1363636363636" style="354" customWidth="1"/>
    <col min="18" max="18" width="10.7090909090909" style="354" customWidth="1"/>
    <col min="19" max="19" width="21.7272727272727" style="354" customWidth="1"/>
    <col min="20" max="20" width="14.2818181818182" style="354" customWidth="1"/>
    <col min="21" max="21" width="12.1363636363636" style="354" customWidth="1"/>
    <col min="22" max="22" width="14.4272727272727" style="354" customWidth="1"/>
    <col min="23" max="23" width="12.5727272727273" style="354" customWidth="1"/>
    <col min="24" max="24" width="14.1363636363636" style="354" customWidth="1"/>
    <col min="25" max="25" width="11.8545454545455" style="354" customWidth="1"/>
    <col min="26" max="16384" width="9" style="354"/>
  </cols>
  <sheetData>
    <row r="1" spans="1:23">
      <c r="A1" s="489" t="s">
        <v>641</v>
      </c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358"/>
      <c r="S1" s="358"/>
      <c r="T1" s="490"/>
      <c r="U1" s="490"/>
      <c r="V1" s="490"/>
      <c r="W1" s="490"/>
    </row>
    <row r="2" spans="1:23">
      <c r="A2" s="491" t="s">
        <v>642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491"/>
      <c r="P2" s="491"/>
      <c r="Q2" s="491"/>
      <c r="R2" s="355"/>
      <c r="S2" s="355"/>
      <c r="T2" s="490"/>
      <c r="U2" s="490"/>
      <c r="V2" s="490"/>
      <c r="W2" s="490"/>
    </row>
    <row r="3" ht="15.75" customHeight="1" spans="1:23">
      <c r="A3" s="492" t="s">
        <v>414</v>
      </c>
      <c r="B3" s="493" t="s">
        <v>643</v>
      </c>
      <c r="C3" s="494" t="s">
        <v>644</v>
      </c>
      <c r="D3" s="494" t="s">
        <v>645</v>
      </c>
      <c r="E3" s="495" t="s">
        <v>646</v>
      </c>
      <c r="F3" s="495" t="s">
        <v>647</v>
      </c>
      <c r="G3" s="496" t="s">
        <v>648</v>
      </c>
      <c r="H3" s="497" t="s">
        <v>418</v>
      </c>
      <c r="I3" s="498"/>
      <c r="J3" s="499" t="s">
        <v>649</v>
      </c>
      <c r="K3" s="500" t="s">
        <v>650</v>
      </c>
      <c r="L3" s="500"/>
      <c r="M3" s="500"/>
      <c r="N3" s="500"/>
      <c r="O3" s="500"/>
      <c r="P3" s="501" t="s">
        <v>651</v>
      </c>
      <c r="Q3" s="501"/>
      <c r="R3" s="490"/>
      <c r="S3" s="490"/>
      <c r="T3" s="490"/>
      <c r="U3" s="490"/>
      <c r="V3" s="490"/>
      <c r="W3" s="490"/>
    </row>
    <row r="4" spans="1:23">
      <c r="A4" s="492"/>
      <c r="B4" s="493"/>
      <c r="C4" s="494"/>
      <c r="D4" s="494"/>
      <c r="E4" s="502"/>
      <c r="F4" s="502"/>
      <c r="G4" s="496"/>
      <c r="H4" s="498" t="s">
        <v>422</v>
      </c>
      <c r="I4" s="503" t="s">
        <v>652</v>
      </c>
      <c r="J4" s="499"/>
      <c r="K4" s="500" t="s">
        <v>653</v>
      </c>
      <c r="L4" s="500" t="s">
        <v>654</v>
      </c>
      <c r="M4" s="500" t="s">
        <v>655</v>
      </c>
      <c r="N4" s="500" t="s">
        <v>656</v>
      </c>
      <c r="O4" s="500" t="s">
        <v>657</v>
      </c>
      <c r="P4" s="501" t="s">
        <v>658</v>
      </c>
      <c r="Q4" s="501" t="s">
        <v>656</v>
      </c>
      <c r="R4" s="504"/>
      <c r="S4" s="490"/>
      <c r="T4" s="490"/>
      <c r="U4" s="490"/>
      <c r="V4" s="490"/>
      <c r="W4" s="490"/>
    </row>
    <row r="5" ht="16" customHeight="1" spans="1:23">
      <c r="A5" s="505">
        <v>1</v>
      </c>
      <c r="B5" s="506"/>
      <c r="C5" s="507" t="s">
        <v>614</v>
      </c>
      <c r="D5" s="508" t="s">
        <v>659</v>
      </c>
      <c r="E5" s="509">
        <v>3700000</v>
      </c>
      <c r="F5" s="509">
        <v>800000</v>
      </c>
      <c r="G5" s="509">
        <f t="shared" ref="G5:G13" si="0">SUM(E5+F5)</f>
        <v>4500000</v>
      </c>
      <c r="H5" s="509">
        <v>3125000</v>
      </c>
      <c r="I5" s="509">
        <v>550000</v>
      </c>
      <c r="J5" s="510">
        <v>20</v>
      </c>
      <c r="K5" s="510">
        <v>4</v>
      </c>
      <c r="L5" s="510"/>
      <c r="M5" s="509"/>
      <c r="N5" s="509"/>
      <c r="O5" s="509"/>
      <c r="P5" s="509">
        <f t="shared" ref="P5:P13" si="1">SUM(H5-M5)</f>
        <v>3125000</v>
      </c>
      <c r="Q5" s="509">
        <f t="shared" ref="Q5:Q12" si="2">SUM(I5-N5)</f>
        <v>550000</v>
      </c>
      <c r="R5" s="511"/>
      <c r="S5" s="511"/>
      <c r="T5" s="490"/>
      <c r="U5" s="490"/>
      <c r="V5" s="490"/>
      <c r="W5" s="490"/>
    </row>
    <row r="6" ht="16" customHeight="1" spans="1:23">
      <c r="A6" s="505">
        <f t="shared" ref="A6:A15" si="3">A5+1</f>
        <v>2</v>
      </c>
      <c r="B6" s="512"/>
      <c r="C6" s="513" t="s">
        <v>660</v>
      </c>
      <c r="D6" s="513" t="s">
        <v>661</v>
      </c>
      <c r="E6" s="514">
        <v>3000000</v>
      </c>
      <c r="F6" s="514">
        <v>600000</v>
      </c>
      <c r="G6" s="509">
        <f t="shared" si="0"/>
        <v>3600000</v>
      </c>
      <c r="H6" s="514">
        <v>175000</v>
      </c>
      <c r="I6" s="514">
        <v>0</v>
      </c>
      <c r="J6" s="515">
        <v>20</v>
      </c>
      <c r="K6" s="515">
        <v>19</v>
      </c>
      <c r="L6" s="515"/>
      <c r="M6" s="514"/>
      <c r="N6" s="514"/>
      <c r="O6" s="514">
        <f t="shared" ref="O6:O13" si="4">M6+N6</f>
        <v>0</v>
      </c>
      <c r="P6" s="509">
        <f t="shared" si="1"/>
        <v>175000</v>
      </c>
      <c r="Q6" s="509">
        <f t="shared" si="2"/>
        <v>0</v>
      </c>
      <c r="R6" s="511"/>
      <c r="S6" s="504"/>
      <c r="T6" s="490"/>
      <c r="U6" s="490"/>
      <c r="V6" s="490"/>
      <c r="W6" s="490"/>
    </row>
    <row r="7" ht="16" customHeight="1" spans="1:23">
      <c r="A7" s="505">
        <f t="shared" si="3"/>
        <v>3</v>
      </c>
      <c r="B7" s="516"/>
      <c r="C7" s="516" t="s">
        <v>662</v>
      </c>
      <c r="D7" s="516" t="s">
        <v>663</v>
      </c>
      <c r="E7" s="517">
        <v>10282500</v>
      </c>
      <c r="F7" s="517">
        <v>1338000</v>
      </c>
      <c r="G7" s="509">
        <f t="shared" si="0"/>
        <v>11620500</v>
      </c>
      <c r="H7" s="514">
        <v>2438106</v>
      </c>
      <c r="I7" s="514">
        <v>0</v>
      </c>
      <c r="J7" s="518">
        <v>30</v>
      </c>
      <c r="K7" s="518">
        <v>21</v>
      </c>
      <c r="L7" s="518"/>
      <c r="M7" s="517"/>
      <c r="N7" s="517"/>
      <c r="O7" s="517">
        <f t="shared" si="4"/>
        <v>0</v>
      </c>
      <c r="P7" s="509">
        <f t="shared" si="1"/>
        <v>2438106</v>
      </c>
      <c r="Q7" s="509">
        <f t="shared" si="2"/>
        <v>0</v>
      </c>
      <c r="R7" s="511">
        <v>639075</v>
      </c>
      <c r="S7" s="504"/>
      <c r="T7" s="504"/>
      <c r="U7" s="519"/>
      <c r="V7" s="490"/>
      <c r="W7" s="490"/>
    </row>
    <row r="8" ht="16" customHeight="1" spans="1:23">
      <c r="A8" s="505">
        <f t="shared" si="3"/>
        <v>4</v>
      </c>
      <c r="B8" s="516"/>
      <c r="C8" s="520" t="s">
        <v>373</v>
      </c>
      <c r="D8" s="516" t="s">
        <v>664</v>
      </c>
      <c r="E8" s="517">
        <v>2450000</v>
      </c>
      <c r="F8" s="517">
        <v>298000</v>
      </c>
      <c r="G8" s="509">
        <f t="shared" si="0"/>
        <v>2748000</v>
      </c>
      <c r="H8" s="514">
        <v>942000</v>
      </c>
      <c r="I8" s="514">
        <v>124168</v>
      </c>
      <c r="J8" s="518">
        <v>12</v>
      </c>
      <c r="K8" s="518">
        <v>8</v>
      </c>
      <c r="L8" s="518"/>
      <c r="M8" s="517"/>
      <c r="N8" s="517"/>
      <c r="O8" s="517">
        <f t="shared" si="4"/>
        <v>0</v>
      </c>
      <c r="P8" s="509">
        <f t="shared" si="1"/>
        <v>942000</v>
      </c>
      <c r="Q8" s="509">
        <f t="shared" si="2"/>
        <v>124168</v>
      </c>
      <c r="R8" s="511"/>
      <c r="S8" s="511"/>
      <c r="T8" s="504"/>
      <c r="U8" s="490"/>
      <c r="V8" s="490"/>
      <c r="W8" s="490"/>
    </row>
    <row r="9" ht="16" customHeight="1" spans="1:23">
      <c r="A9" s="505">
        <f t="shared" si="3"/>
        <v>5</v>
      </c>
      <c r="B9" s="516"/>
      <c r="C9" s="520" t="s">
        <v>665</v>
      </c>
      <c r="D9" s="516" t="s">
        <v>666</v>
      </c>
      <c r="E9" s="517">
        <v>4000000</v>
      </c>
      <c r="F9" s="517">
        <v>400000</v>
      </c>
      <c r="G9" s="509">
        <f t="shared" si="0"/>
        <v>4400000</v>
      </c>
      <c r="H9" s="514">
        <v>1200000</v>
      </c>
      <c r="I9" s="514">
        <v>120000</v>
      </c>
      <c r="J9" s="518">
        <v>10</v>
      </c>
      <c r="K9" s="518">
        <v>8</v>
      </c>
      <c r="L9" s="518"/>
      <c r="M9" s="517"/>
      <c r="N9" s="517"/>
      <c r="O9" s="517">
        <f t="shared" si="4"/>
        <v>0</v>
      </c>
      <c r="P9" s="509">
        <f t="shared" si="1"/>
        <v>1200000</v>
      </c>
      <c r="Q9" s="509">
        <f t="shared" si="2"/>
        <v>120000</v>
      </c>
      <c r="R9" s="511"/>
      <c r="S9" s="504"/>
      <c r="T9" s="504"/>
      <c r="U9" s="504"/>
      <c r="V9" s="490"/>
      <c r="W9" s="490"/>
    </row>
    <row r="10" ht="16" customHeight="1" spans="1:23">
      <c r="A10" s="505">
        <f t="shared" si="3"/>
        <v>6</v>
      </c>
      <c r="B10" s="516"/>
      <c r="C10" s="520" t="s">
        <v>667</v>
      </c>
      <c r="D10" s="516" t="s">
        <v>668</v>
      </c>
      <c r="E10" s="517">
        <v>1650000</v>
      </c>
      <c r="F10" s="517">
        <v>200000</v>
      </c>
      <c r="G10" s="509">
        <f t="shared" si="0"/>
        <v>1850000</v>
      </c>
      <c r="H10" s="514">
        <v>1320000</v>
      </c>
      <c r="I10" s="514">
        <v>160000</v>
      </c>
      <c r="J10" s="518">
        <v>10</v>
      </c>
      <c r="K10" s="518">
        <v>4</v>
      </c>
      <c r="L10" s="518"/>
      <c r="M10" s="517"/>
      <c r="N10" s="517"/>
      <c r="O10" s="517">
        <f t="shared" si="4"/>
        <v>0</v>
      </c>
      <c r="P10" s="509">
        <f t="shared" si="1"/>
        <v>1320000</v>
      </c>
      <c r="Q10" s="509">
        <f t="shared" si="2"/>
        <v>160000</v>
      </c>
      <c r="R10" s="511">
        <f>SUM(P5:P16)</f>
        <v>28450607</v>
      </c>
      <c r="S10" s="504"/>
      <c r="T10" s="511"/>
      <c r="U10" s="490"/>
      <c r="V10" s="490"/>
      <c r="W10" s="490"/>
    </row>
    <row r="11" ht="16" customHeight="1" spans="1:23">
      <c r="A11" s="505">
        <f t="shared" si="3"/>
        <v>7</v>
      </c>
      <c r="B11" s="516"/>
      <c r="C11" s="520" t="s">
        <v>669</v>
      </c>
      <c r="D11" s="516" t="s">
        <v>670</v>
      </c>
      <c r="E11" s="517">
        <v>2900000</v>
      </c>
      <c r="F11" s="517">
        <v>400000</v>
      </c>
      <c r="G11" s="509">
        <f t="shared" si="0"/>
        <v>3300000</v>
      </c>
      <c r="H11" s="514">
        <v>1208332</v>
      </c>
      <c r="I11" s="514">
        <v>166668</v>
      </c>
      <c r="J11" s="518">
        <v>12</v>
      </c>
      <c r="K11" s="518">
        <v>6</v>
      </c>
      <c r="L11" s="518"/>
      <c r="M11" s="517"/>
      <c r="N11" s="517"/>
      <c r="O11" s="517">
        <f t="shared" si="4"/>
        <v>0</v>
      </c>
      <c r="P11" s="509">
        <f t="shared" si="1"/>
        <v>1208332</v>
      </c>
      <c r="Q11" s="509">
        <f t="shared" si="2"/>
        <v>166668</v>
      </c>
      <c r="R11" s="511">
        <f>R10+P18+P19+P21</f>
        <v>38637680</v>
      </c>
      <c r="S11" s="504"/>
      <c r="T11" s="504"/>
      <c r="U11" s="490"/>
      <c r="V11" s="490"/>
      <c r="W11" s="490"/>
    </row>
    <row r="12" ht="16" customHeight="1" spans="1:23">
      <c r="A12" s="505">
        <f t="shared" si="3"/>
        <v>8</v>
      </c>
      <c r="B12" s="516"/>
      <c r="C12" s="520" t="s">
        <v>671</v>
      </c>
      <c r="D12" s="516" t="s">
        <v>672</v>
      </c>
      <c r="E12" s="517">
        <v>2250000</v>
      </c>
      <c r="F12" s="517">
        <v>250000</v>
      </c>
      <c r="G12" s="509">
        <f t="shared" si="0"/>
        <v>2500000</v>
      </c>
      <c r="H12" s="514">
        <v>895000</v>
      </c>
      <c r="I12" s="514">
        <v>100000</v>
      </c>
      <c r="J12" s="518">
        <v>10</v>
      </c>
      <c r="K12" s="518">
        <v>6</v>
      </c>
      <c r="L12" s="518"/>
      <c r="M12" s="517"/>
      <c r="N12" s="517"/>
      <c r="O12" s="517">
        <f t="shared" si="4"/>
        <v>0</v>
      </c>
      <c r="P12" s="509">
        <f t="shared" si="1"/>
        <v>895000</v>
      </c>
      <c r="Q12" s="509">
        <f t="shared" si="2"/>
        <v>100000</v>
      </c>
      <c r="R12" s="511"/>
      <c r="S12" s="490"/>
      <c r="T12" s="504"/>
      <c r="U12" s="490"/>
      <c r="V12" s="490"/>
      <c r="W12" s="490"/>
    </row>
    <row r="13" ht="16" customHeight="1" spans="1:23">
      <c r="A13" s="505">
        <f t="shared" si="3"/>
        <v>9</v>
      </c>
      <c r="B13" s="520" t="e">
        <f>#REF!</f>
        <v>#REF!</v>
      </c>
      <c r="C13" s="513" t="s">
        <v>673</v>
      </c>
      <c r="D13" s="520" t="s">
        <v>674</v>
      </c>
      <c r="E13" s="521">
        <v>15000000</v>
      </c>
      <c r="F13" s="521">
        <v>6000000</v>
      </c>
      <c r="G13" s="514">
        <f t="shared" si="0"/>
        <v>21000000</v>
      </c>
      <c r="H13" s="521">
        <v>13925000</v>
      </c>
      <c r="I13" s="521"/>
      <c r="J13" s="522">
        <v>40</v>
      </c>
      <c r="K13" s="522">
        <v>2</v>
      </c>
      <c r="L13" s="515"/>
      <c r="M13" s="514"/>
      <c r="N13" s="521"/>
      <c r="O13" s="521">
        <f t="shared" si="4"/>
        <v>0</v>
      </c>
      <c r="P13" s="514">
        <f t="shared" si="1"/>
        <v>13925000</v>
      </c>
      <c r="Q13" s="514"/>
      <c r="R13" s="511"/>
      <c r="S13" s="490"/>
      <c r="T13" s="504"/>
      <c r="U13" s="490"/>
      <c r="V13" s="490"/>
      <c r="W13" s="490"/>
    </row>
    <row r="14" ht="16" customHeight="1" spans="1:23">
      <c r="A14" s="505">
        <f t="shared" si="3"/>
        <v>10</v>
      </c>
      <c r="B14" s="516"/>
      <c r="C14" s="516" t="s">
        <v>675</v>
      </c>
      <c r="D14" s="516" t="s">
        <v>676</v>
      </c>
      <c r="E14" s="517">
        <v>2875000</v>
      </c>
      <c r="F14" s="517">
        <v>365000</v>
      </c>
      <c r="G14" s="514">
        <f>SUM(E14+F14)</f>
        <v>3240000</v>
      </c>
      <c r="H14" s="514">
        <v>409170</v>
      </c>
      <c r="I14" s="514">
        <v>50832</v>
      </c>
      <c r="J14" s="518">
        <v>12</v>
      </c>
      <c r="K14" s="518">
        <v>11</v>
      </c>
      <c r="L14" s="518"/>
      <c r="M14" s="517"/>
      <c r="N14" s="517"/>
      <c r="O14" s="521">
        <f>M14+N14</f>
        <v>0</v>
      </c>
      <c r="P14" s="514">
        <f>SUM(H14-M14)</f>
        <v>409170</v>
      </c>
      <c r="Q14" s="514">
        <f t="shared" ref="Q14:Q20" si="5">SUM(I14-N14)</f>
        <v>50832</v>
      </c>
      <c r="R14" s="511"/>
      <c r="S14" s="504"/>
      <c r="T14" s="490"/>
      <c r="U14" s="490"/>
      <c r="V14" s="490"/>
      <c r="W14" s="490"/>
    </row>
    <row r="15" ht="16" customHeight="1" spans="1:23">
      <c r="A15" s="505">
        <f t="shared" si="3"/>
        <v>11</v>
      </c>
      <c r="B15" s="516"/>
      <c r="C15" s="516" t="s">
        <v>677</v>
      </c>
      <c r="D15" s="516" t="s">
        <v>678</v>
      </c>
      <c r="E15" s="517">
        <v>3800000</v>
      </c>
      <c r="F15" s="517">
        <v>460000</v>
      </c>
      <c r="G15" s="514">
        <f>SUM(E15+F15)</f>
        <v>4260000</v>
      </c>
      <c r="H15" s="514">
        <v>2381666</v>
      </c>
      <c r="I15" s="514">
        <v>218334</v>
      </c>
      <c r="J15" s="518">
        <v>12</v>
      </c>
      <c r="K15" s="518">
        <v>4</v>
      </c>
      <c r="L15" s="518"/>
      <c r="M15" s="517"/>
      <c r="N15" s="517"/>
      <c r="O15" s="521">
        <f>M15+N15</f>
        <v>0</v>
      </c>
      <c r="P15" s="514">
        <f>SUM(H15-M15)</f>
        <v>2381666</v>
      </c>
      <c r="Q15" s="514">
        <f t="shared" si="5"/>
        <v>218334</v>
      </c>
      <c r="R15" s="511"/>
      <c r="S15" s="504"/>
      <c r="T15" s="490"/>
      <c r="U15" s="511"/>
      <c r="V15" s="490"/>
      <c r="W15" s="490"/>
    </row>
    <row r="16" ht="16" customHeight="1" spans="1:23">
      <c r="A16" s="523">
        <f>A15+1</f>
        <v>12</v>
      </c>
      <c r="B16" s="516"/>
      <c r="C16" s="513" t="s">
        <v>679</v>
      </c>
      <c r="D16" s="516" t="s">
        <v>680</v>
      </c>
      <c r="E16" s="517">
        <v>2500000</v>
      </c>
      <c r="F16" s="517">
        <v>300000</v>
      </c>
      <c r="G16" s="514">
        <f>SUM(E16+F16)</f>
        <v>2800000</v>
      </c>
      <c r="H16" s="514">
        <v>431333</v>
      </c>
      <c r="I16" s="514">
        <v>0</v>
      </c>
      <c r="J16" s="518">
        <v>12</v>
      </c>
      <c r="K16" s="518">
        <v>8</v>
      </c>
      <c r="L16" s="518"/>
      <c r="M16" s="517"/>
      <c r="N16" s="517"/>
      <c r="O16" s="521">
        <f>M16+N16</f>
        <v>0</v>
      </c>
      <c r="P16" s="514">
        <f>SUM(H16-M16)</f>
        <v>431333</v>
      </c>
      <c r="Q16" s="514">
        <f t="shared" si="5"/>
        <v>0</v>
      </c>
      <c r="R16" s="511"/>
      <c r="S16" s="504"/>
      <c r="T16" s="504"/>
      <c r="U16" s="490"/>
      <c r="V16" s="490"/>
      <c r="W16" s="490"/>
    </row>
    <row r="17" ht="16" customHeight="1" spans="1:23">
      <c r="A17" s="523">
        <f>A16+1</f>
        <v>13</v>
      </c>
      <c r="B17" s="1054" t="s">
        <v>681</v>
      </c>
      <c r="C17" s="524" t="s">
        <v>682</v>
      </c>
      <c r="D17" s="525" t="s">
        <v>683</v>
      </c>
      <c r="E17" s="526">
        <v>2295000</v>
      </c>
      <c r="F17" s="526">
        <v>413100</v>
      </c>
      <c r="G17" s="527">
        <f>SUM(E17+F17)</f>
        <v>2708100</v>
      </c>
      <c r="H17" s="527">
        <v>840105</v>
      </c>
      <c r="I17" s="527">
        <v>144453</v>
      </c>
      <c r="J17" s="528">
        <v>12</v>
      </c>
      <c r="K17" s="528">
        <v>2</v>
      </c>
      <c r="L17" s="1055" t="s">
        <v>335</v>
      </c>
      <c r="M17" s="526">
        <v>87398</v>
      </c>
      <c r="N17" s="526">
        <v>12602</v>
      </c>
      <c r="O17" s="529">
        <f>M17+N17</f>
        <v>100000</v>
      </c>
      <c r="P17" s="527">
        <f>SUM(H17-M17)</f>
        <v>752707</v>
      </c>
      <c r="Q17" s="527">
        <f t="shared" si="5"/>
        <v>131851</v>
      </c>
      <c r="R17" s="511">
        <f>100000-N17</f>
        <v>87398</v>
      </c>
      <c r="S17" s="504">
        <f>P17*1.5%</f>
        <v>11290.605</v>
      </c>
      <c r="T17" s="504">
        <f>P17+Q17</f>
        <v>884558</v>
      </c>
      <c r="U17" s="490"/>
      <c r="V17" s="490"/>
      <c r="W17" s="490"/>
    </row>
    <row r="18" ht="16" customHeight="1" spans="1:23">
      <c r="A18" s="523">
        <f>A17+1</f>
        <v>14</v>
      </c>
      <c r="B18" s="516"/>
      <c r="C18" s="516" t="s">
        <v>684</v>
      </c>
      <c r="D18" s="516" t="s">
        <v>685</v>
      </c>
      <c r="E18" s="517">
        <v>8889100</v>
      </c>
      <c r="F18" s="517">
        <v>3555640</v>
      </c>
      <c r="G18" s="514">
        <f>SUM(E18+F18)</f>
        <v>12444740</v>
      </c>
      <c r="H18" s="514">
        <v>8493073</v>
      </c>
      <c r="I18" s="514">
        <v>0</v>
      </c>
      <c r="J18" s="518">
        <v>40</v>
      </c>
      <c r="K18" s="518">
        <v>6</v>
      </c>
      <c r="L18" s="518"/>
      <c r="M18" s="517"/>
      <c r="N18" s="517"/>
      <c r="O18" s="521">
        <f>M18+N18</f>
        <v>0</v>
      </c>
      <c r="P18" s="514">
        <f>SUM(H18-M18)</f>
        <v>8493073</v>
      </c>
      <c r="Q18" s="514">
        <f t="shared" si="5"/>
        <v>0</v>
      </c>
      <c r="R18" s="504"/>
      <c r="S18" s="504">
        <f>S17*12</f>
        <v>135487.26</v>
      </c>
      <c r="T18" s="504">
        <f>100000-S17</f>
        <v>88709.395</v>
      </c>
      <c r="U18" s="490"/>
      <c r="V18" s="490"/>
      <c r="W18" s="490"/>
    </row>
    <row r="19" ht="16" customHeight="1" spans="1:23">
      <c r="A19" s="523">
        <f>A18+1</f>
        <v>15</v>
      </c>
      <c r="B19" s="516"/>
      <c r="C19" s="516" t="s">
        <v>686</v>
      </c>
      <c r="D19" s="516" t="s">
        <v>687</v>
      </c>
      <c r="E19" s="517">
        <v>2300000</v>
      </c>
      <c r="F19" s="517">
        <v>276000</v>
      </c>
      <c r="G19" s="514">
        <f>SUM(E19+F19)</f>
        <v>2576000</v>
      </c>
      <c r="H19" s="514">
        <v>536000</v>
      </c>
      <c r="I19" s="514">
        <v>0</v>
      </c>
      <c r="J19" s="518">
        <v>12</v>
      </c>
      <c r="K19" s="518"/>
      <c r="L19" s="518"/>
      <c r="M19" s="517"/>
      <c r="N19" s="517"/>
      <c r="O19" s="521">
        <f>M19+N19</f>
        <v>0</v>
      </c>
      <c r="P19" s="514">
        <f>SUM(H19-M19)</f>
        <v>536000</v>
      </c>
      <c r="Q19" s="514">
        <f t="shared" si="5"/>
        <v>0</v>
      </c>
      <c r="R19" s="504"/>
      <c r="S19" s="504"/>
      <c r="T19" s="504"/>
      <c r="U19" s="490"/>
      <c r="V19" s="490"/>
      <c r="W19" s="490"/>
    </row>
    <row r="20" ht="16" customHeight="1" spans="1:23">
      <c r="A20" s="523">
        <f>A19+1</f>
        <v>16</v>
      </c>
      <c r="B20" s="1054" t="s">
        <v>688</v>
      </c>
      <c r="C20" s="516" t="s">
        <v>369</v>
      </c>
      <c r="D20" s="516" t="s">
        <v>683</v>
      </c>
      <c r="E20" s="517">
        <v>30000000</v>
      </c>
      <c r="F20" s="517">
        <v>12000000</v>
      </c>
      <c r="G20" s="514">
        <f>SUM(E20+F20)</f>
        <v>42000000</v>
      </c>
      <c r="H20" s="514">
        <v>17050000</v>
      </c>
      <c r="I20" s="514">
        <v>0</v>
      </c>
      <c r="J20" s="518">
        <v>40</v>
      </c>
      <c r="K20" s="518"/>
      <c r="L20" s="518"/>
      <c r="M20" s="517"/>
      <c r="N20" s="517"/>
      <c r="O20" s="521">
        <f>M20+N20</f>
        <v>0</v>
      </c>
      <c r="P20" s="514">
        <f>SUM(H20-M20)</f>
        <v>17050000</v>
      </c>
      <c r="Q20" s="514">
        <f t="shared" si="5"/>
        <v>0</v>
      </c>
      <c r="R20" s="504"/>
      <c r="S20" s="504"/>
      <c r="T20" s="504"/>
      <c r="U20" s="490"/>
      <c r="V20" s="490"/>
      <c r="W20" s="490"/>
    </row>
    <row r="21" ht="16" customHeight="1" spans="1:23">
      <c r="A21" s="523">
        <f>A20+1</f>
        <v>17</v>
      </c>
      <c r="B21" s="1054" t="s">
        <v>689</v>
      </c>
      <c r="C21" s="516" t="s">
        <v>690</v>
      </c>
      <c r="D21" s="516" t="s">
        <v>687</v>
      </c>
      <c r="E21" s="517">
        <v>2600000</v>
      </c>
      <c r="F21" s="517">
        <v>260000</v>
      </c>
      <c r="G21" s="514">
        <f>SUM(E21+F21)</f>
        <v>2860000</v>
      </c>
      <c r="H21" s="514">
        <v>1158000</v>
      </c>
      <c r="I21" s="514">
        <v>64000</v>
      </c>
      <c r="J21" s="518">
        <v>10</v>
      </c>
      <c r="K21" s="518">
        <v>7</v>
      </c>
      <c r="L21" s="518"/>
      <c r="M21" s="517"/>
      <c r="N21" s="517"/>
      <c r="O21" s="521">
        <f>M21+N21</f>
        <v>0</v>
      </c>
      <c r="P21" s="514">
        <f>SUM(H21-M21)</f>
        <v>1158000</v>
      </c>
      <c r="Q21" s="514">
        <f>SUM(I21-N21)</f>
        <v>64000</v>
      </c>
      <c r="R21" s="504"/>
      <c r="S21" s="504"/>
      <c r="T21" s="504"/>
      <c r="U21" s="490"/>
      <c r="V21" s="490"/>
      <c r="W21" s="490"/>
    </row>
    <row r="22" ht="16" customHeight="1" spans="1:23">
      <c r="A22" s="523">
        <f>A21+1</f>
        <v>18</v>
      </c>
      <c r="B22" s="1054" t="s">
        <v>691</v>
      </c>
      <c r="C22" s="513" t="s">
        <v>692</v>
      </c>
      <c r="D22" s="513" t="s">
        <v>693</v>
      </c>
      <c r="E22" s="514">
        <v>25000000</v>
      </c>
      <c r="F22" s="514">
        <v>10000000</v>
      </c>
      <c r="G22" s="514">
        <f>SUM(E22+F22)</f>
        <v>35000000</v>
      </c>
      <c r="H22" s="514">
        <v>17825000</v>
      </c>
      <c r="I22" s="514">
        <v>2750000</v>
      </c>
      <c r="J22" s="515">
        <v>40</v>
      </c>
      <c r="K22" s="515">
        <v>29</v>
      </c>
      <c r="L22" s="515"/>
      <c r="M22" s="514"/>
      <c r="N22" s="514"/>
      <c r="O22" s="521">
        <f>M22+N22</f>
        <v>0</v>
      </c>
      <c r="P22" s="514">
        <f>SUM(H22-M22)</f>
        <v>17825000</v>
      </c>
      <c r="Q22" s="514">
        <f>SUM(I22-N22)</f>
        <v>2750000</v>
      </c>
      <c r="R22" s="504"/>
      <c r="S22" s="504">
        <f>F22/J22</f>
        <v>250000</v>
      </c>
      <c r="T22" s="504"/>
      <c r="U22" s="490"/>
      <c r="V22" s="490"/>
      <c r="W22" s="490"/>
    </row>
    <row r="23" ht="16" customHeight="1" spans="1:23">
      <c r="A23" s="523">
        <f>A22+1</f>
        <v>19</v>
      </c>
      <c r="B23" s="1054" t="s">
        <v>694</v>
      </c>
      <c r="C23" s="525" t="s">
        <v>695</v>
      </c>
      <c r="D23" s="525" t="s">
        <v>696</v>
      </c>
      <c r="E23" s="526">
        <v>15000000</v>
      </c>
      <c r="F23" s="526">
        <v>6000000</v>
      </c>
      <c r="G23" s="527">
        <f>SUM(E23+F23)</f>
        <v>21000000</v>
      </c>
      <c r="H23" s="527">
        <v>4375000</v>
      </c>
      <c r="I23" s="527">
        <v>2200000</v>
      </c>
      <c r="J23" s="528">
        <v>40</v>
      </c>
      <c r="K23" s="528">
        <v>32</v>
      </c>
      <c r="L23" s="1055" t="s">
        <v>335</v>
      </c>
      <c r="M23" s="526">
        <v>350000</v>
      </c>
      <c r="N23" s="526">
        <v>150000</v>
      </c>
      <c r="O23" s="529">
        <f>M23+N23</f>
        <v>500000</v>
      </c>
      <c r="P23" s="527">
        <f>SUM(H23-M23)</f>
        <v>4025000</v>
      </c>
      <c r="Q23" s="527">
        <f>SUM(I23-N23)</f>
        <v>2050000</v>
      </c>
      <c r="R23" s="504">
        <f>F23/J23</f>
        <v>150000</v>
      </c>
      <c r="S23" s="504">
        <f>F23/J23</f>
        <v>150000</v>
      </c>
      <c r="T23" s="504"/>
      <c r="U23" s="490"/>
      <c r="V23" s="490"/>
      <c r="W23" s="490"/>
    </row>
    <row r="24" ht="16" customHeight="1" spans="1:23">
      <c r="A24" s="523">
        <f t="shared" ref="A24:A33" si="6">A23+1</f>
        <v>20</v>
      </c>
      <c r="B24" s="1056" t="s">
        <v>540</v>
      </c>
      <c r="C24" s="525" t="s">
        <v>261</v>
      </c>
      <c r="D24" s="525" t="s">
        <v>697</v>
      </c>
      <c r="E24" s="526">
        <v>28000000</v>
      </c>
      <c r="F24" s="526">
        <v>8680000</v>
      </c>
      <c r="G24" s="527">
        <f t="shared" ref="G24:G38" si="7">SUM(E24+F24)</f>
        <v>36680000</v>
      </c>
      <c r="H24" s="526">
        <v>6821000</v>
      </c>
      <c r="I24" s="526">
        <v>840000</v>
      </c>
      <c r="J24" s="528">
        <v>31</v>
      </c>
      <c r="K24" s="528">
        <v>27</v>
      </c>
      <c r="L24" s="1055" t="s">
        <v>255</v>
      </c>
      <c r="M24" s="526">
        <v>220000</v>
      </c>
      <c r="N24" s="526">
        <v>280000</v>
      </c>
      <c r="O24" s="529">
        <f t="shared" ref="O24:O38" si="8">M24+N24</f>
        <v>500000</v>
      </c>
      <c r="P24" s="527">
        <f t="shared" ref="P24:P38" si="9">SUM(H24-M24)</f>
        <v>6601000</v>
      </c>
      <c r="Q24" s="527">
        <f t="shared" ref="Q24:Q47" si="10">SUM(I24-N24)</f>
        <v>560000</v>
      </c>
      <c r="R24" s="504"/>
      <c r="S24" s="504">
        <f>F24/J24</f>
        <v>280000</v>
      </c>
      <c r="T24" s="504">
        <f>500000-N24</f>
        <v>220000</v>
      </c>
      <c r="U24" s="490"/>
      <c r="V24" s="490"/>
      <c r="W24" s="490"/>
    </row>
    <row r="25" ht="16" customHeight="1" spans="1:23">
      <c r="A25" s="523">
        <f t="shared" si="6"/>
        <v>21</v>
      </c>
      <c r="B25" s="1056" t="s">
        <v>540</v>
      </c>
      <c r="C25" s="516" t="s">
        <v>698</v>
      </c>
      <c r="D25" s="516" t="s">
        <v>699</v>
      </c>
      <c r="E25" s="517">
        <v>28000000</v>
      </c>
      <c r="F25" s="517">
        <v>8680000</v>
      </c>
      <c r="G25" s="514">
        <f t="shared" si="7"/>
        <v>36680000</v>
      </c>
      <c r="H25" s="517">
        <v>22416000</v>
      </c>
      <c r="I25" s="517">
        <v>2520000</v>
      </c>
      <c r="J25" s="518">
        <v>31</v>
      </c>
      <c r="K25" s="518">
        <v>22</v>
      </c>
      <c r="L25" s="518"/>
      <c r="M25" s="517"/>
      <c r="N25" s="517"/>
      <c r="O25" s="521">
        <f t="shared" si="8"/>
        <v>0</v>
      </c>
      <c r="P25" s="514">
        <f t="shared" si="9"/>
        <v>22416000</v>
      </c>
      <c r="Q25" s="514">
        <f t="shared" si="10"/>
        <v>2520000</v>
      </c>
      <c r="R25" s="504"/>
      <c r="S25" s="504"/>
      <c r="T25" s="504"/>
      <c r="U25" s="490"/>
      <c r="V25" s="490"/>
      <c r="W25" s="490"/>
    </row>
    <row r="26" ht="16" customHeight="1" spans="1:23">
      <c r="A26" s="523">
        <f t="shared" si="6"/>
        <v>22</v>
      </c>
      <c r="B26" s="1056" t="s">
        <v>540</v>
      </c>
      <c r="C26" s="525" t="s">
        <v>700</v>
      </c>
      <c r="D26" s="525" t="s">
        <v>701</v>
      </c>
      <c r="E26" s="526">
        <v>28000000</v>
      </c>
      <c r="F26" s="526">
        <v>8680000</v>
      </c>
      <c r="G26" s="527">
        <f t="shared" si="7"/>
        <v>36680000</v>
      </c>
      <c r="H26" s="526">
        <v>10188000</v>
      </c>
      <c r="I26" s="526">
        <v>840000</v>
      </c>
      <c r="J26" s="528">
        <v>31</v>
      </c>
      <c r="K26" s="528">
        <v>26</v>
      </c>
      <c r="L26" s="1055" t="s">
        <v>255</v>
      </c>
      <c r="M26" s="526">
        <v>904000</v>
      </c>
      <c r="N26" s="526">
        <v>280000</v>
      </c>
      <c r="O26" s="529">
        <f t="shared" si="8"/>
        <v>1184000</v>
      </c>
      <c r="P26" s="527">
        <f t="shared" si="9"/>
        <v>9284000</v>
      </c>
      <c r="Q26" s="527">
        <f t="shared" si="10"/>
        <v>560000</v>
      </c>
      <c r="R26" s="504"/>
      <c r="S26" s="504">
        <f>1184000-N26</f>
        <v>904000</v>
      </c>
      <c r="T26" s="504">
        <f>F26/J26</f>
        <v>280000</v>
      </c>
      <c r="U26" s="490"/>
      <c r="V26" s="519"/>
      <c r="W26" s="531"/>
    </row>
    <row r="27" ht="16" customHeight="1" spans="1:23">
      <c r="A27" s="523">
        <f t="shared" si="6"/>
        <v>23</v>
      </c>
      <c r="B27" s="1056" t="s">
        <v>702</v>
      </c>
      <c r="C27" s="516" t="s">
        <v>703</v>
      </c>
      <c r="D27" s="516" t="s">
        <v>704</v>
      </c>
      <c r="E27" s="517">
        <v>10000000</v>
      </c>
      <c r="F27" s="517">
        <v>6000000</v>
      </c>
      <c r="G27" s="514">
        <f t="shared" si="7"/>
        <v>16000000</v>
      </c>
      <c r="H27" s="517">
        <v>6400000</v>
      </c>
      <c r="I27" s="517">
        <v>3150000</v>
      </c>
      <c r="J27" s="518">
        <v>40</v>
      </c>
      <c r="K27" s="518">
        <v>18</v>
      </c>
      <c r="L27" s="518"/>
      <c r="M27" s="517"/>
      <c r="N27" s="517"/>
      <c r="O27" s="521">
        <f t="shared" si="8"/>
        <v>0</v>
      </c>
      <c r="P27" s="514">
        <f t="shared" si="9"/>
        <v>6400000</v>
      </c>
      <c r="Q27" s="514">
        <f t="shared" si="10"/>
        <v>3150000</v>
      </c>
      <c r="R27" s="504" t="s">
        <v>705</v>
      </c>
      <c r="S27" s="504">
        <f>F27/J27</f>
        <v>150000</v>
      </c>
      <c r="T27" s="504"/>
      <c r="U27" s="490"/>
      <c r="V27" s="490"/>
      <c r="W27" s="490"/>
    </row>
    <row r="28" ht="16" customHeight="1" spans="1:23">
      <c r="A28" s="523">
        <f t="shared" si="6"/>
        <v>24</v>
      </c>
      <c r="B28" s="1056" t="s">
        <v>706</v>
      </c>
      <c r="C28" s="525" t="s">
        <v>707</v>
      </c>
      <c r="D28" s="525" t="s">
        <v>708</v>
      </c>
      <c r="E28" s="526">
        <v>8000000</v>
      </c>
      <c r="F28" s="526">
        <v>450000</v>
      </c>
      <c r="G28" s="527">
        <f t="shared" si="7"/>
        <v>8450000</v>
      </c>
      <c r="H28" s="526">
        <v>6650000</v>
      </c>
      <c r="I28" s="526">
        <v>300000</v>
      </c>
      <c r="J28" s="528">
        <v>12</v>
      </c>
      <c r="K28" s="528">
        <v>5</v>
      </c>
      <c r="L28" s="1055" t="s">
        <v>284</v>
      </c>
      <c r="M28" s="526">
        <v>462500</v>
      </c>
      <c r="N28" s="526">
        <v>37500</v>
      </c>
      <c r="O28" s="529">
        <f t="shared" si="8"/>
        <v>500000</v>
      </c>
      <c r="P28" s="527">
        <f t="shared" si="9"/>
        <v>6187500</v>
      </c>
      <c r="Q28" s="527">
        <f t="shared" si="10"/>
        <v>262500</v>
      </c>
      <c r="R28" s="504">
        <f>F28/J28</f>
        <v>37500</v>
      </c>
      <c r="S28" s="504">
        <f>500000-R28</f>
        <v>462500</v>
      </c>
      <c r="T28" s="504"/>
      <c r="U28" s="490"/>
      <c r="V28" s="490"/>
      <c r="W28" s="490"/>
    </row>
    <row r="29" ht="16" customHeight="1" spans="1:23">
      <c r="A29" s="523">
        <f t="shared" si="6"/>
        <v>25</v>
      </c>
      <c r="B29" s="1056" t="s">
        <v>557</v>
      </c>
      <c r="C29" s="525" t="s">
        <v>322</v>
      </c>
      <c r="D29" s="525" t="s">
        <v>709</v>
      </c>
      <c r="E29" s="526">
        <v>20550000</v>
      </c>
      <c r="F29" s="526">
        <v>3895500</v>
      </c>
      <c r="G29" s="527">
        <f t="shared" si="7"/>
        <v>24445500</v>
      </c>
      <c r="H29" s="526">
        <v>12729775</v>
      </c>
      <c r="I29" s="526">
        <v>3895500</v>
      </c>
      <c r="J29" s="528">
        <v>20</v>
      </c>
      <c r="K29" s="528">
        <v>3</v>
      </c>
      <c r="L29" s="1055" t="s">
        <v>585</v>
      </c>
      <c r="M29" s="526">
        <v>105225</v>
      </c>
      <c r="N29" s="526">
        <v>194775</v>
      </c>
      <c r="O29" s="529">
        <f t="shared" si="8"/>
        <v>300000</v>
      </c>
      <c r="P29" s="527">
        <f t="shared" si="9"/>
        <v>12624550</v>
      </c>
      <c r="Q29" s="527">
        <v>3895500</v>
      </c>
      <c r="R29" s="504">
        <f>400000-N29</f>
        <v>205225</v>
      </c>
      <c r="S29" s="504">
        <f>F29/J29</f>
        <v>194775</v>
      </c>
      <c r="T29" s="504">
        <f>310000-S29</f>
        <v>115225</v>
      </c>
      <c r="U29" s="490"/>
      <c r="V29" s="490"/>
      <c r="W29" s="490"/>
    </row>
    <row r="30" ht="16" customHeight="1" spans="1:23">
      <c r="A30" s="523">
        <f t="shared" si="6"/>
        <v>26</v>
      </c>
      <c r="B30" s="1056" t="s">
        <v>710</v>
      </c>
      <c r="C30" s="525" t="s">
        <v>711</v>
      </c>
      <c r="D30" s="525" t="s">
        <v>709</v>
      </c>
      <c r="E30" s="526">
        <v>25000000</v>
      </c>
      <c r="F30" s="526">
        <v>9375000</v>
      </c>
      <c r="G30" s="527">
        <f t="shared" si="7"/>
        <v>34375000</v>
      </c>
      <c r="H30" s="526">
        <v>15185000</v>
      </c>
      <c r="I30" s="526">
        <v>2250000</v>
      </c>
      <c r="J30" s="528">
        <v>25</v>
      </c>
      <c r="K30" s="528">
        <v>19</v>
      </c>
      <c r="L30" s="1055" t="s">
        <v>335</v>
      </c>
      <c r="M30" s="526">
        <v>500000</v>
      </c>
      <c r="N30" s="526">
        <v>375000</v>
      </c>
      <c r="O30" s="529">
        <f t="shared" si="8"/>
        <v>875000</v>
      </c>
      <c r="P30" s="527">
        <f t="shared" si="9"/>
        <v>14685000</v>
      </c>
      <c r="Q30" s="527">
        <f t="shared" si="10"/>
        <v>1875000</v>
      </c>
      <c r="R30" s="504"/>
      <c r="S30" s="504"/>
      <c r="T30" s="504">
        <f>F30/J30</f>
        <v>375000</v>
      </c>
      <c r="U30" s="490"/>
      <c r="V30" s="490"/>
      <c r="W30" s="490"/>
    </row>
    <row r="31" ht="16" customHeight="1" spans="1:23">
      <c r="A31" s="523">
        <f t="shared" si="6"/>
        <v>27</v>
      </c>
      <c r="B31" s="1056" t="s">
        <v>712</v>
      </c>
      <c r="C31" s="524" t="s">
        <v>713</v>
      </c>
      <c r="D31" s="524" t="s">
        <v>714</v>
      </c>
      <c r="E31" s="527">
        <v>37000000</v>
      </c>
      <c r="F31" s="527">
        <v>22500000</v>
      </c>
      <c r="G31" s="527">
        <f t="shared" si="7"/>
        <v>59500000</v>
      </c>
      <c r="H31" s="527">
        <v>35521250</v>
      </c>
      <c r="I31" s="527">
        <v>5663750</v>
      </c>
      <c r="J31" s="532">
        <v>60</v>
      </c>
      <c r="K31" s="532">
        <v>21</v>
      </c>
      <c r="L31" s="1057" t="s">
        <v>335</v>
      </c>
      <c r="M31" s="527">
        <v>225000</v>
      </c>
      <c r="N31" s="527">
        <v>375000</v>
      </c>
      <c r="O31" s="529">
        <f t="shared" si="8"/>
        <v>600000</v>
      </c>
      <c r="P31" s="527">
        <f t="shared" si="9"/>
        <v>35296250</v>
      </c>
      <c r="Q31" s="527">
        <f t="shared" si="10"/>
        <v>5288750</v>
      </c>
      <c r="R31" s="504">
        <f>600000-N31</f>
        <v>225000</v>
      </c>
      <c r="S31" s="504">
        <f>F31/J31</f>
        <v>375000</v>
      </c>
      <c r="T31" s="504"/>
      <c r="U31" s="490"/>
      <c r="V31" s="490"/>
      <c r="W31" s="490">
        <f>37000000*1.5%</f>
        <v>555000</v>
      </c>
    </row>
    <row r="32" ht="16" customHeight="1" spans="1:23">
      <c r="A32" s="523">
        <f t="shared" si="6"/>
        <v>28</v>
      </c>
      <c r="B32" s="1056" t="s">
        <v>715</v>
      </c>
      <c r="C32" s="525" t="s">
        <v>716</v>
      </c>
      <c r="D32" s="525" t="s">
        <v>717</v>
      </c>
      <c r="E32" s="526">
        <v>6000000</v>
      </c>
      <c r="F32" s="526">
        <v>1350000</v>
      </c>
      <c r="G32" s="527">
        <f t="shared" si="7"/>
        <v>7350000</v>
      </c>
      <c r="H32" s="526">
        <v>630000</v>
      </c>
      <c r="I32" s="526">
        <v>120000</v>
      </c>
      <c r="J32" s="528">
        <v>18</v>
      </c>
      <c r="K32" s="528">
        <v>17</v>
      </c>
      <c r="L32" s="1055" t="s">
        <v>277</v>
      </c>
      <c r="M32" s="526">
        <v>425000</v>
      </c>
      <c r="N32" s="526">
        <v>75000</v>
      </c>
      <c r="O32" s="529">
        <f t="shared" si="8"/>
        <v>500000</v>
      </c>
      <c r="P32" s="527">
        <f t="shared" si="9"/>
        <v>205000</v>
      </c>
      <c r="Q32" s="527">
        <f t="shared" si="10"/>
        <v>45000</v>
      </c>
      <c r="R32" s="504"/>
      <c r="S32" s="504">
        <f>E32/J32</f>
        <v>333333.333333333</v>
      </c>
      <c r="T32" s="504">
        <f>F32/J32</f>
        <v>75000</v>
      </c>
      <c r="U32" s="490">
        <f>500000-T32</f>
        <v>425000</v>
      </c>
      <c r="V32" s="490">
        <f>P32+Q32</f>
        <v>250000</v>
      </c>
      <c r="W32" s="490"/>
    </row>
    <row r="33" ht="16" customHeight="1" spans="1:23">
      <c r="A33" s="523">
        <f t="shared" si="6"/>
        <v>29</v>
      </c>
      <c r="B33" s="1056" t="s">
        <v>718</v>
      </c>
      <c r="C33" s="516" t="s">
        <v>581</v>
      </c>
      <c r="D33" s="516" t="s">
        <v>717</v>
      </c>
      <c r="E33" s="517">
        <v>2700000</v>
      </c>
      <c r="F33" s="517">
        <v>405000</v>
      </c>
      <c r="G33" s="514">
        <f t="shared" si="7"/>
        <v>3105000</v>
      </c>
      <c r="H33" s="517">
        <v>1402500</v>
      </c>
      <c r="I33" s="517">
        <v>162000</v>
      </c>
      <c r="J33" s="518">
        <v>10</v>
      </c>
      <c r="K33" s="518">
        <v>5</v>
      </c>
      <c r="L33" s="518"/>
      <c r="M33" s="517"/>
      <c r="N33" s="517"/>
      <c r="O33" s="521">
        <f t="shared" si="8"/>
        <v>0</v>
      </c>
      <c r="P33" s="514">
        <f t="shared" si="9"/>
        <v>1402500</v>
      </c>
      <c r="Q33" s="514">
        <f t="shared" si="10"/>
        <v>162000</v>
      </c>
      <c r="R33" s="504"/>
      <c r="S33" s="504">
        <f>200000-T33</f>
        <v>159500</v>
      </c>
      <c r="T33" s="504">
        <f>F33/J33</f>
        <v>40500</v>
      </c>
      <c r="U33" s="490">
        <f>100000-N33</f>
        <v>100000</v>
      </c>
      <c r="V33" s="490"/>
      <c r="W33" s="490"/>
    </row>
    <row r="34" s="487" customFormat="1" ht="16" customHeight="1" spans="1:23">
      <c r="A34" s="523">
        <f>A33+1</f>
        <v>30</v>
      </c>
      <c r="B34" s="1056" t="s">
        <v>719</v>
      </c>
      <c r="C34" s="525" t="s">
        <v>370</v>
      </c>
      <c r="D34" s="525" t="s">
        <v>720</v>
      </c>
      <c r="E34" s="526">
        <v>58866300</v>
      </c>
      <c r="F34" s="526">
        <v>30022000</v>
      </c>
      <c r="G34" s="527">
        <f t="shared" si="7"/>
        <v>88888300</v>
      </c>
      <c r="H34" s="526">
        <v>55998300</v>
      </c>
      <c r="I34" s="526">
        <v>26490000</v>
      </c>
      <c r="J34" s="528">
        <v>48</v>
      </c>
      <c r="K34" s="528">
        <v>18</v>
      </c>
      <c r="L34" s="1055" t="s">
        <v>335</v>
      </c>
      <c r="M34" s="526">
        <v>717000</v>
      </c>
      <c r="N34" s="526">
        <v>883000</v>
      </c>
      <c r="O34" s="529">
        <f t="shared" si="8"/>
        <v>1600000</v>
      </c>
      <c r="P34" s="527">
        <f t="shared" si="9"/>
        <v>55281300</v>
      </c>
      <c r="Q34" s="527">
        <f t="shared" si="10"/>
        <v>25607000</v>
      </c>
      <c r="R34" s="533"/>
      <c r="S34" s="533">
        <f>1600000-N34</f>
        <v>717000</v>
      </c>
      <c r="T34" s="533">
        <v>883000</v>
      </c>
      <c r="U34" s="534">
        <f>S34+T34</f>
        <v>1600000</v>
      </c>
      <c r="V34" s="535">
        <f>F34/J34</f>
        <v>625458.333333333</v>
      </c>
      <c r="W34" s="536">
        <f>E34*1.5%</f>
        <v>882994.5</v>
      </c>
    </row>
    <row r="35" spans="1:23">
      <c r="A35" s="523">
        <f>A34+1</f>
        <v>31</v>
      </c>
      <c r="B35" s="1058" t="s">
        <v>721</v>
      </c>
      <c r="C35" s="537" t="s">
        <v>247</v>
      </c>
      <c r="D35" s="537" t="s">
        <v>722</v>
      </c>
      <c r="E35" s="538">
        <v>3000000</v>
      </c>
      <c r="F35" s="538">
        <v>900000</v>
      </c>
      <c r="G35" s="539">
        <f t="shared" ref="G35:G47" si="11">SUM(E35+F35)</f>
        <v>3900000</v>
      </c>
      <c r="H35" s="538">
        <v>1950000</v>
      </c>
      <c r="I35" s="538">
        <v>495000</v>
      </c>
      <c r="J35" s="540">
        <v>20</v>
      </c>
      <c r="K35" s="540">
        <v>9</v>
      </c>
      <c r="L35" s="537"/>
      <c r="M35" s="538"/>
      <c r="N35" s="538"/>
      <c r="O35" s="521">
        <f t="shared" ref="O35:O47" si="12">M35+N35</f>
        <v>0</v>
      </c>
      <c r="P35" s="539">
        <f t="shared" ref="P35:P47" si="13">SUM(H35-M35)</f>
        <v>1950000</v>
      </c>
      <c r="Q35" s="539">
        <f t="shared" si="10"/>
        <v>495000</v>
      </c>
      <c r="R35" s="504"/>
      <c r="S35" s="504">
        <f>F35/J35</f>
        <v>45000</v>
      </c>
      <c r="T35" s="504">
        <f>G35/J35</f>
        <v>195000</v>
      </c>
      <c r="U35" s="504">
        <f>T35*3</f>
        <v>585000</v>
      </c>
      <c r="V35" s="504">
        <f>T35-S35</f>
        <v>150000</v>
      </c>
      <c r="W35" s="490">
        <f>G35/J35</f>
        <v>195000</v>
      </c>
    </row>
    <row r="36" spans="1:23">
      <c r="A36" s="523">
        <f>A35+1</f>
        <v>32</v>
      </c>
      <c r="B36" s="1058" t="s">
        <v>723</v>
      </c>
      <c r="C36" s="537" t="s">
        <v>724</v>
      </c>
      <c r="D36" s="537" t="s">
        <v>725</v>
      </c>
      <c r="E36" s="538">
        <v>1410000</v>
      </c>
      <c r="F36" s="538">
        <v>35250</v>
      </c>
      <c r="G36" s="539">
        <f t="shared" si="11"/>
        <v>1445250</v>
      </c>
      <c r="H36" s="538">
        <v>945250</v>
      </c>
      <c r="I36" s="538">
        <v>35250</v>
      </c>
      <c r="J36" s="540">
        <v>2</v>
      </c>
      <c r="K36" s="540">
        <v>1</v>
      </c>
      <c r="L36" s="537"/>
      <c r="M36" s="538"/>
      <c r="N36" s="538"/>
      <c r="O36" s="521">
        <f t="shared" si="12"/>
        <v>0</v>
      </c>
      <c r="P36" s="539">
        <f t="shared" si="13"/>
        <v>945250</v>
      </c>
      <c r="Q36" s="539">
        <f t="shared" si="10"/>
        <v>35250</v>
      </c>
      <c r="R36" s="541">
        <f>P36+Q36</f>
        <v>980500</v>
      </c>
      <c r="S36" s="504">
        <f>R36/12</f>
        <v>81708.3333333333</v>
      </c>
      <c r="T36" s="504">
        <f>S36*4</f>
        <v>326833.333333333</v>
      </c>
      <c r="U36" s="490">
        <f>500000-N36</f>
        <v>500000</v>
      </c>
      <c r="V36" s="490"/>
      <c r="W36" s="490"/>
    </row>
    <row r="37" spans="1:23">
      <c r="A37" s="523">
        <f>A36+1</f>
        <v>33</v>
      </c>
      <c r="B37" s="1058" t="s">
        <v>723</v>
      </c>
      <c r="C37" s="537" t="s">
        <v>726</v>
      </c>
      <c r="D37" s="537" t="s">
        <v>725</v>
      </c>
      <c r="E37" s="538">
        <v>406000</v>
      </c>
      <c r="F37" s="538">
        <v>50750</v>
      </c>
      <c r="G37" s="539">
        <f t="shared" si="11"/>
        <v>456750</v>
      </c>
      <c r="H37" s="538">
        <v>256750</v>
      </c>
      <c r="I37" s="538">
        <v>0</v>
      </c>
      <c r="J37" s="540">
        <v>5</v>
      </c>
      <c r="K37" s="540"/>
      <c r="L37" s="537"/>
      <c r="M37" s="538"/>
      <c r="N37" s="538"/>
      <c r="O37" s="521">
        <f t="shared" si="12"/>
        <v>0</v>
      </c>
      <c r="P37" s="539">
        <f t="shared" si="13"/>
        <v>256750</v>
      </c>
      <c r="Q37" s="539">
        <f t="shared" si="10"/>
        <v>0</v>
      </c>
      <c r="R37" s="541">
        <v>92000</v>
      </c>
      <c r="S37" s="504">
        <f>200000-N37</f>
        <v>200000</v>
      </c>
      <c r="T37" s="504" t="e">
        <f>160000-#REF!</f>
        <v>#REF!</v>
      </c>
      <c r="U37" s="490"/>
      <c r="V37" s="490"/>
      <c r="W37" s="490"/>
    </row>
    <row r="38" spans="1:23">
      <c r="A38" s="523">
        <f>A37+1</f>
        <v>34</v>
      </c>
      <c r="B38" s="1058" t="s">
        <v>723</v>
      </c>
      <c r="C38" s="537" t="s">
        <v>727</v>
      </c>
      <c r="D38" s="537" t="s">
        <v>728</v>
      </c>
      <c r="E38" s="538">
        <v>2650000</v>
      </c>
      <c r="F38" s="538">
        <v>795000</v>
      </c>
      <c r="G38" s="539">
        <f t="shared" si="11"/>
        <v>3445000</v>
      </c>
      <c r="H38" s="538">
        <v>1269500</v>
      </c>
      <c r="I38" s="538">
        <v>397500</v>
      </c>
      <c r="J38" s="540">
        <v>12</v>
      </c>
      <c r="K38" s="540">
        <v>6</v>
      </c>
      <c r="L38" s="537"/>
      <c r="M38" s="538"/>
      <c r="N38" s="538"/>
      <c r="O38" s="521">
        <f t="shared" si="12"/>
        <v>0</v>
      </c>
      <c r="P38" s="539">
        <f t="shared" si="13"/>
        <v>1269500</v>
      </c>
      <c r="Q38" s="539">
        <f t="shared" si="10"/>
        <v>397500</v>
      </c>
      <c r="R38" s="541">
        <v>288000</v>
      </c>
      <c r="S38" s="504">
        <f>F38/J38</f>
        <v>66250</v>
      </c>
      <c r="T38" s="504">
        <f>R38-S38</f>
        <v>221750</v>
      </c>
      <c r="U38" s="490"/>
      <c r="V38" s="490"/>
      <c r="W38" s="490"/>
    </row>
    <row r="39" spans="1:23">
      <c r="A39" s="523">
        <f>A38+1</f>
        <v>35</v>
      </c>
      <c r="B39" s="1058" t="str">
        <f>B38</f>
        <v>29-8-2025</v>
      </c>
      <c r="C39" s="537" t="s">
        <v>729</v>
      </c>
      <c r="D39" s="537" t="s">
        <v>728</v>
      </c>
      <c r="E39" s="538">
        <v>2015000</v>
      </c>
      <c r="F39" s="538">
        <v>100750</v>
      </c>
      <c r="G39" s="539">
        <f t="shared" si="11"/>
        <v>2115750</v>
      </c>
      <c r="H39" s="538">
        <v>1230000</v>
      </c>
      <c r="I39" s="538">
        <v>0</v>
      </c>
      <c r="J39" s="540">
        <v>2</v>
      </c>
      <c r="K39" s="540">
        <v>2</v>
      </c>
      <c r="L39" s="537"/>
      <c r="M39" s="538"/>
      <c r="N39" s="538"/>
      <c r="O39" s="521">
        <f t="shared" si="12"/>
        <v>0</v>
      </c>
      <c r="P39" s="539">
        <f t="shared" si="13"/>
        <v>1230000</v>
      </c>
      <c r="Q39" s="539">
        <f t="shared" si="10"/>
        <v>0</v>
      </c>
      <c r="R39" s="541">
        <v>1365000</v>
      </c>
      <c r="S39" s="504">
        <f>P39+Q39</f>
        <v>1230000</v>
      </c>
      <c r="T39" s="504">
        <f>S39-R39</f>
        <v>-135000</v>
      </c>
      <c r="U39" s="504">
        <f>350000-N39</f>
        <v>350000</v>
      </c>
      <c r="V39" s="490"/>
      <c r="W39" s="490"/>
    </row>
    <row r="40" spans="1:23">
      <c r="A40" s="523">
        <f>A39+1</f>
        <v>36</v>
      </c>
      <c r="B40" s="1058" t="str">
        <f>B39</f>
        <v>29-8-2025</v>
      </c>
      <c r="C40" s="537" t="s">
        <v>730</v>
      </c>
      <c r="D40" s="537" t="s">
        <v>731</v>
      </c>
      <c r="E40" s="538">
        <v>1938000</v>
      </c>
      <c r="F40" s="538">
        <v>581400</v>
      </c>
      <c r="G40" s="539">
        <f t="shared" si="11"/>
        <v>2519400</v>
      </c>
      <c r="H40" s="538">
        <v>1028700</v>
      </c>
      <c r="I40" s="538">
        <v>290700</v>
      </c>
      <c r="J40" s="540">
        <v>12</v>
      </c>
      <c r="K40" s="540">
        <v>6</v>
      </c>
      <c r="L40" s="537"/>
      <c r="M40" s="538"/>
      <c r="N40" s="538"/>
      <c r="O40" s="521">
        <f t="shared" si="12"/>
        <v>0</v>
      </c>
      <c r="P40" s="539">
        <f t="shared" si="13"/>
        <v>1028700</v>
      </c>
      <c r="Q40" s="539">
        <f t="shared" si="10"/>
        <v>290700</v>
      </c>
      <c r="R40" s="541">
        <v>210000</v>
      </c>
      <c r="S40" s="504">
        <f>F40/J40</f>
        <v>48450</v>
      </c>
      <c r="T40" s="504">
        <f>1000000-N40</f>
        <v>1000000</v>
      </c>
      <c r="U40" s="504"/>
      <c r="V40" s="490"/>
      <c r="W40" s="504">
        <f>200000-N40</f>
        <v>200000</v>
      </c>
    </row>
    <row r="41" spans="1:23">
      <c r="A41" s="523">
        <f>A40+1</f>
        <v>37</v>
      </c>
      <c r="B41" s="1058" t="str">
        <f>B40</f>
        <v>29-8-2025</v>
      </c>
      <c r="C41" s="537" t="s">
        <v>732</v>
      </c>
      <c r="D41" s="537" t="s">
        <v>725</v>
      </c>
      <c r="E41" s="538">
        <v>604000</v>
      </c>
      <c r="F41" s="538">
        <v>181200</v>
      </c>
      <c r="G41" s="539">
        <f t="shared" si="11"/>
        <v>785200</v>
      </c>
      <c r="H41" s="538">
        <v>604000</v>
      </c>
      <c r="I41" s="538">
        <v>181200</v>
      </c>
      <c r="J41" s="540">
        <v>12</v>
      </c>
      <c r="K41" s="540"/>
      <c r="L41" s="537"/>
      <c r="M41" s="538"/>
      <c r="N41" s="538"/>
      <c r="O41" s="521">
        <f t="shared" si="12"/>
        <v>0</v>
      </c>
      <c r="P41" s="539">
        <f t="shared" si="13"/>
        <v>604000</v>
      </c>
      <c r="Q41" s="539">
        <f t="shared" si="10"/>
        <v>181200</v>
      </c>
      <c r="R41" s="541">
        <v>70000</v>
      </c>
      <c r="S41" s="504">
        <f>P40/J40</f>
        <v>85725</v>
      </c>
      <c r="T41" s="504"/>
      <c r="U41" s="490"/>
      <c r="V41" s="490"/>
      <c r="W41" s="490"/>
    </row>
    <row r="42" spans="1:23">
      <c r="A42" s="523">
        <f>A41+1</f>
        <v>38</v>
      </c>
      <c r="B42" s="1058" t="s">
        <v>733</v>
      </c>
      <c r="C42" s="542" t="s">
        <v>734</v>
      </c>
      <c r="D42" s="542" t="s">
        <v>735</v>
      </c>
      <c r="E42" s="543">
        <v>3500000</v>
      </c>
      <c r="F42" s="543">
        <v>1050000</v>
      </c>
      <c r="G42" s="544">
        <f t="shared" si="11"/>
        <v>4550000</v>
      </c>
      <c r="H42" s="545">
        <v>1277500</v>
      </c>
      <c r="I42" s="543">
        <v>472500</v>
      </c>
      <c r="J42" s="546">
        <v>20</v>
      </c>
      <c r="K42" s="546">
        <v>11</v>
      </c>
      <c r="L42" s="1059" t="s">
        <v>335</v>
      </c>
      <c r="M42" s="543">
        <v>197500</v>
      </c>
      <c r="N42" s="543">
        <v>52500</v>
      </c>
      <c r="O42" s="529">
        <f t="shared" si="12"/>
        <v>250000</v>
      </c>
      <c r="P42" s="544">
        <f t="shared" si="13"/>
        <v>1080000</v>
      </c>
      <c r="Q42" s="544">
        <f t="shared" si="10"/>
        <v>420000</v>
      </c>
      <c r="R42" s="504">
        <f>F42/J42</f>
        <v>52500</v>
      </c>
      <c r="S42" s="504">
        <f>F42/J42</f>
        <v>52500</v>
      </c>
      <c r="T42" s="504">
        <f>250000-S42</f>
        <v>197500</v>
      </c>
      <c r="U42" s="490"/>
      <c r="V42" s="490"/>
      <c r="W42" s="490"/>
    </row>
    <row r="43" spans="1:23">
      <c r="A43" s="523">
        <f t="shared" ref="A43:A56" si="14">A42+1</f>
        <v>39</v>
      </c>
      <c r="B43" s="1060" t="s">
        <v>736</v>
      </c>
      <c r="C43" s="542" t="s">
        <v>737</v>
      </c>
      <c r="D43" s="542" t="s">
        <v>720</v>
      </c>
      <c r="E43" s="543">
        <v>20000000</v>
      </c>
      <c r="F43" s="543">
        <v>18000000</v>
      </c>
      <c r="G43" s="544">
        <f t="shared" si="11"/>
        <v>38000000</v>
      </c>
      <c r="H43" s="543">
        <v>17662000</v>
      </c>
      <c r="I43" s="543">
        <v>15900000</v>
      </c>
      <c r="J43" s="546">
        <v>60</v>
      </c>
      <c r="K43" s="546">
        <v>8</v>
      </c>
      <c r="L43" s="1059" t="s">
        <v>273</v>
      </c>
      <c r="M43" s="543">
        <v>334000</v>
      </c>
      <c r="N43" s="543">
        <v>300000</v>
      </c>
      <c r="O43" s="529">
        <f t="shared" si="12"/>
        <v>634000</v>
      </c>
      <c r="P43" s="544">
        <f t="shared" si="13"/>
        <v>17328000</v>
      </c>
      <c r="Q43" s="544">
        <f t="shared" si="10"/>
        <v>15600000</v>
      </c>
      <c r="R43" s="504">
        <f>F43/J43</f>
        <v>300000</v>
      </c>
      <c r="S43" s="504">
        <f>F43/J43</f>
        <v>300000</v>
      </c>
      <c r="T43" s="504">
        <f>G43/J43</f>
        <v>633333.333333333</v>
      </c>
      <c r="U43" s="490">
        <f>634000-N43</f>
        <v>334000</v>
      </c>
      <c r="V43" s="490"/>
      <c r="W43" s="490"/>
    </row>
    <row r="44" spans="1:23">
      <c r="A44" s="523">
        <f t="shared" si="14"/>
        <v>40</v>
      </c>
      <c r="B44" s="1060" t="s">
        <v>738</v>
      </c>
      <c r="C44" s="542" t="s">
        <v>373</v>
      </c>
      <c r="D44" s="542" t="s">
        <v>739</v>
      </c>
      <c r="E44" s="543">
        <v>14000000</v>
      </c>
      <c r="F44" s="543">
        <v>5040000</v>
      </c>
      <c r="G44" s="544">
        <f t="shared" si="11"/>
        <v>19040000</v>
      </c>
      <c r="H44" s="543">
        <v>13640000</v>
      </c>
      <c r="I44" s="543">
        <v>4900000</v>
      </c>
      <c r="J44" s="546">
        <v>36</v>
      </c>
      <c r="K44" s="546">
        <v>2</v>
      </c>
      <c r="L44" s="1059" t="s">
        <v>335</v>
      </c>
      <c r="M44" s="543">
        <v>360000</v>
      </c>
      <c r="N44" s="543">
        <v>140000</v>
      </c>
      <c r="O44" s="529">
        <f t="shared" si="12"/>
        <v>500000</v>
      </c>
      <c r="P44" s="544">
        <f t="shared" si="13"/>
        <v>13280000</v>
      </c>
      <c r="Q44" s="544">
        <f t="shared" si="10"/>
        <v>4760000</v>
      </c>
      <c r="R44" s="504" t="s">
        <v>740</v>
      </c>
      <c r="S44" s="504">
        <f>F44/J44</f>
        <v>140000</v>
      </c>
      <c r="T44" s="504">
        <f>250000-N44</f>
        <v>110000</v>
      </c>
      <c r="U44" s="490"/>
      <c r="V44" s="490">
        <f>140000*36</f>
        <v>5040000</v>
      </c>
      <c r="W44" s="490"/>
    </row>
    <row r="45" spans="1:23">
      <c r="A45" s="523">
        <f t="shared" si="14"/>
        <v>41</v>
      </c>
      <c r="B45" s="1060" t="s">
        <v>741</v>
      </c>
      <c r="C45" s="542" t="s">
        <v>311</v>
      </c>
      <c r="D45" s="542" t="s">
        <v>742</v>
      </c>
      <c r="E45" s="543">
        <v>2200000</v>
      </c>
      <c r="F45" s="543">
        <v>396000</v>
      </c>
      <c r="G45" s="544">
        <f t="shared" si="11"/>
        <v>2596000</v>
      </c>
      <c r="H45" s="543">
        <v>1628125</v>
      </c>
      <c r="I45" s="543">
        <v>316875</v>
      </c>
      <c r="J45" s="546">
        <v>12</v>
      </c>
      <c r="K45" s="546">
        <v>4</v>
      </c>
      <c r="L45" s="1059" t="s">
        <v>310</v>
      </c>
      <c r="M45" s="543">
        <v>184000</v>
      </c>
      <c r="N45" s="543">
        <v>33000</v>
      </c>
      <c r="O45" s="529">
        <f t="shared" si="12"/>
        <v>217000</v>
      </c>
      <c r="P45" s="544">
        <f t="shared" si="13"/>
        <v>1444125</v>
      </c>
      <c r="Q45" s="544">
        <f t="shared" si="10"/>
        <v>283875</v>
      </c>
      <c r="R45" s="504"/>
      <c r="S45" s="504">
        <f>G45/J45</f>
        <v>216333.333333333</v>
      </c>
      <c r="T45" s="504">
        <f>140000-N46</f>
        <v>140000</v>
      </c>
      <c r="U45" s="490">
        <f>SUM(F45/J45)</f>
        <v>33000</v>
      </c>
      <c r="V45" s="490">
        <f>217000-U45</f>
        <v>184000</v>
      </c>
      <c r="W45" s="490"/>
    </row>
    <row r="46" spans="1:23">
      <c r="A46" s="523">
        <f t="shared" si="14"/>
        <v>42</v>
      </c>
      <c r="B46" s="1060" t="s">
        <v>743</v>
      </c>
      <c r="C46" s="537" t="s">
        <v>744</v>
      </c>
      <c r="D46" s="537" t="s">
        <v>742</v>
      </c>
      <c r="E46" s="547">
        <v>1000000</v>
      </c>
      <c r="F46" s="547">
        <v>120000</v>
      </c>
      <c r="G46" s="539">
        <f t="shared" si="11"/>
        <v>1120000</v>
      </c>
      <c r="H46" s="547">
        <v>625125</v>
      </c>
      <c r="I46" s="547">
        <v>74875</v>
      </c>
      <c r="J46" s="540">
        <v>8</v>
      </c>
      <c r="K46" s="540">
        <v>3</v>
      </c>
      <c r="L46" s="540"/>
      <c r="M46" s="547"/>
      <c r="N46" s="547"/>
      <c r="O46" s="521">
        <f t="shared" si="12"/>
        <v>0</v>
      </c>
      <c r="P46" s="539">
        <f t="shared" si="13"/>
        <v>625125</v>
      </c>
      <c r="Q46" s="539">
        <f t="shared" si="10"/>
        <v>74875</v>
      </c>
      <c r="R46" s="504"/>
      <c r="S46" s="504">
        <f>140000-N46</f>
        <v>140000</v>
      </c>
      <c r="T46" s="504">
        <f>SUM(F46/8)</f>
        <v>15000</v>
      </c>
      <c r="U46" s="490"/>
      <c r="V46" s="490"/>
      <c r="W46" s="490"/>
    </row>
    <row r="47" spans="1:23">
      <c r="A47" s="523">
        <f t="shared" si="14"/>
        <v>43</v>
      </c>
      <c r="B47" s="1060" t="s">
        <v>743</v>
      </c>
      <c r="C47" s="537" t="s">
        <v>563</v>
      </c>
      <c r="D47" s="537" t="s">
        <v>742</v>
      </c>
      <c r="E47" s="547">
        <v>1100000</v>
      </c>
      <c r="F47" s="547">
        <v>198000</v>
      </c>
      <c r="G47" s="539">
        <f t="shared" si="11"/>
        <v>1298000</v>
      </c>
      <c r="H47" s="547">
        <v>756000</v>
      </c>
      <c r="I47" s="547">
        <v>132000</v>
      </c>
      <c r="J47" s="540">
        <v>12</v>
      </c>
      <c r="K47" s="540">
        <v>3</v>
      </c>
      <c r="L47" s="540"/>
      <c r="M47" s="547"/>
      <c r="N47" s="547"/>
      <c r="O47" s="521">
        <f t="shared" si="12"/>
        <v>0</v>
      </c>
      <c r="P47" s="539">
        <f t="shared" si="13"/>
        <v>756000</v>
      </c>
      <c r="Q47" s="539">
        <f t="shared" si="10"/>
        <v>132000</v>
      </c>
      <c r="R47" s="504"/>
      <c r="S47" s="504">
        <f>110000-N47</f>
        <v>110000</v>
      </c>
      <c r="T47" s="504">
        <f>F47/12</f>
        <v>16500</v>
      </c>
      <c r="U47" s="490">
        <f>T47*2</f>
        <v>33000</v>
      </c>
      <c r="V47" s="490">
        <f>M47*2</f>
        <v>0</v>
      </c>
      <c r="W47" s="490"/>
    </row>
    <row r="48" spans="1:23">
      <c r="A48" s="523">
        <f t="shared" si="14"/>
        <v>44</v>
      </c>
      <c r="B48" s="1060" t="s">
        <v>745</v>
      </c>
      <c r="C48" s="542" t="s">
        <v>257</v>
      </c>
      <c r="D48" s="542" t="s">
        <v>746</v>
      </c>
      <c r="E48" s="543">
        <v>2100000</v>
      </c>
      <c r="F48" s="543">
        <v>189000</v>
      </c>
      <c r="G48" s="544">
        <f t="shared" ref="G48:G56" si="15">SUM(E48+F48)</f>
        <v>2289000</v>
      </c>
      <c r="H48" s="543">
        <v>766000</v>
      </c>
      <c r="I48" s="543">
        <v>63000</v>
      </c>
      <c r="J48" s="546">
        <v>6</v>
      </c>
      <c r="K48" s="546">
        <v>5</v>
      </c>
      <c r="L48" s="1059" t="s">
        <v>255</v>
      </c>
      <c r="M48" s="543">
        <v>358500</v>
      </c>
      <c r="N48" s="543">
        <v>31500</v>
      </c>
      <c r="O48" s="529">
        <f t="shared" ref="O48:O56" si="16">M48+N48</f>
        <v>390000</v>
      </c>
      <c r="P48" s="544">
        <f t="shared" ref="P48:P56" si="17">SUM(H48-M48)</f>
        <v>407500</v>
      </c>
      <c r="Q48" s="544">
        <f t="shared" ref="Q48:Q56" si="18">SUM(I48-N48)</f>
        <v>31500</v>
      </c>
      <c r="R48" s="504">
        <f>G48/J48</f>
        <v>381500</v>
      </c>
      <c r="S48" s="504">
        <f>F48/J48</f>
        <v>31500</v>
      </c>
      <c r="T48" s="504">
        <f>390000-N48</f>
        <v>358500</v>
      </c>
      <c r="U48" s="490"/>
      <c r="V48" s="490"/>
      <c r="W48" s="490"/>
    </row>
    <row r="49" spans="1:23">
      <c r="A49" s="523">
        <f t="shared" si="14"/>
        <v>45</v>
      </c>
      <c r="B49" s="1060" t="s">
        <v>747</v>
      </c>
      <c r="C49" s="542" t="s">
        <v>341</v>
      </c>
      <c r="D49" s="542" t="s">
        <v>704</v>
      </c>
      <c r="E49" s="543">
        <v>2600000</v>
      </c>
      <c r="F49" s="543">
        <v>390000</v>
      </c>
      <c r="G49" s="544">
        <f t="shared" si="15"/>
        <v>2990000</v>
      </c>
      <c r="H49" s="543">
        <v>1820000</v>
      </c>
      <c r="I49" s="543">
        <v>273000</v>
      </c>
      <c r="J49" s="546">
        <v>10</v>
      </c>
      <c r="K49" s="546">
        <v>4</v>
      </c>
      <c r="L49" s="1059" t="s">
        <v>335</v>
      </c>
      <c r="M49" s="543">
        <v>260000</v>
      </c>
      <c r="N49" s="543">
        <v>39000</v>
      </c>
      <c r="O49" s="529">
        <f t="shared" si="16"/>
        <v>299000</v>
      </c>
      <c r="P49" s="544">
        <f t="shared" si="17"/>
        <v>1560000</v>
      </c>
      <c r="Q49" s="544">
        <f t="shared" si="18"/>
        <v>234000</v>
      </c>
      <c r="R49" s="504">
        <f>299000-N49</f>
        <v>260000</v>
      </c>
      <c r="S49" s="504">
        <f>F49/J49</f>
        <v>39000</v>
      </c>
      <c r="T49" s="504">
        <f>390000-N48</f>
        <v>358500</v>
      </c>
      <c r="U49" s="490"/>
      <c r="V49" s="490"/>
      <c r="W49" s="490"/>
    </row>
    <row r="50" spans="1:23">
      <c r="A50" s="523">
        <f t="shared" si="14"/>
        <v>46</v>
      </c>
      <c r="B50" s="1060" t="s">
        <v>747</v>
      </c>
      <c r="C50" s="542" t="s">
        <v>342</v>
      </c>
      <c r="D50" s="542" t="s">
        <v>704</v>
      </c>
      <c r="E50" s="543">
        <v>3100000</v>
      </c>
      <c r="F50" s="543">
        <v>465000</v>
      </c>
      <c r="G50" s="544">
        <f t="shared" si="15"/>
        <v>3565000</v>
      </c>
      <c r="H50" s="543">
        <v>2170000</v>
      </c>
      <c r="I50" s="543">
        <v>325500</v>
      </c>
      <c r="J50" s="546">
        <v>10</v>
      </c>
      <c r="K50" s="546">
        <v>4</v>
      </c>
      <c r="L50" s="1059" t="s">
        <v>335</v>
      </c>
      <c r="M50" s="543">
        <v>310000</v>
      </c>
      <c r="N50" s="543">
        <v>46500</v>
      </c>
      <c r="O50" s="529">
        <f t="shared" si="16"/>
        <v>356500</v>
      </c>
      <c r="P50" s="544">
        <f t="shared" si="17"/>
        <v>1860000</v>
      </c>
      <c r="Q50" s="544">
        <f t="shared" si="18"/>
        <v>279000</v>
      </c>
      <c r="R50" s="504">
        <f>356500-46500</f>
        <v>310000</v>
      </c>
      <c r="S50" s="504"/>
      <c r="T50" s="504"/>
      <c r="U50" s="490"/>
      <c r="V50" s="490"/>
      <c r="W50" s="490"/>
    </row>
    <row r="51" spans="1:23">
      <c r="A51" s="523">
        <f t="shared" si="14"/>
        <v>47</v>
      </c>
      <c r="B51" s="1060" t="s">
        <v>747</v>
      </c>
      <c r="C51" s="542" t="s">
        <v>286</v>
      </c>
      <c r="D51" s="542" t="s">
        <v>748</v>
      </c>
      <c r="E51" s="543">
        <v>1450000</v>
      </c>
      <c r="F51" s="543">
        <v>261000</v>
      </c>
      <c r="G51" s="544">
        <f t="shared" si="15"/>
        <v>1711000</v>
      </c>
      <c r="H51" s="543">
        <v>808750</v>
      </c>
      <c r="I51" s="543">
        <v>152250</v>
      </c>
      <c r="J51" s="546">
        <v>12</v>
      </c>
      <c r="K51" s="546">
        <v>6</v>
      </c>
      <c r="L51" s="1059" t="s">
        <v>284</v>
      </c>
      <c r="M51" s="543">
        <v>128250</v>
      </c>
      <c r="N51" s="543">
        <v>21750</v>
      </c>
      <c r="O51" s="529">
        <f t="shared" si="16"/>
        <v>150000</v>
      </c>
      <c r="P51" s="544">
        <f t="shared" si="17"/>
        <v>680500</v>
      </c>
      <c r="Q51" s="544">
        <f t="shared" si="18"/>
        <v>130500</v>
      </c>
      <c r="R51" s="504"/>
      <c r="S51" s="504">
        <f>F51/12</f>
        <v>21750</v>
      </c>
      <c r="T51" s="504">
        <f>150000-N51</f>
        <v>128250</v>
      </c>
      <c r="U51" s="490"/>
      <c r="V51" s="490"/>
      <c r="W51" s="490"/>
    </row>
    <row r="52" spans="1:23">
      <c r="A52" s="523">
        <f t="shared" si="14"/>
        <v>48</v>
      </c>
      <c r="B52" s="1060" t="s">
        <v>749</v>
      </c>
      <c r="C52" s="542" t="s">
        <v>369</v>
      </c>
      <c r="D52" s="542" t="s">
        <v>750</v>
      </c>
      <c r="E52" s="543">
        <v>6000000</v>
      </c>
      <c r="F52" s="543">
        <v>750000</v>
      </c>
      <c r="G52" s="544">
        <f t="shared" si="15"/>
        <v>6750000</v>
      </c>
      <c r="H52" s="543">
        <v>4000000</v>
      </c>
      <c r="I52" s="543">
        <v>450000</v>
      </c>
      <c r="J52" s="546">
        <v>10</v>
      </c>
      <c r="K52" s="546">
        <v>5</v>
      </c>
      <c r="L52" s="1059" t="s">
        <v>335</v>
      </c>
      <c r="M52" s="543">
        <v>500000</v>
      </c>
      <c r="N52" s="543">
        <v>75000</v>
      </c>
      <c r="O52" s="529">
        <f t="shared" si="16"/>
        <v>575000</v>
      </c>
      <c r="P52" s="544">
        <f t="shared" si="17"/>
        <v>3500000</v>
      </c>
      <c r="Q52" s="544">
        <f t="shared" si="18"/>
        <v>375000</v>
      </c>
      <c r="R52" s="504"/>
      <c r="S52" s="504">
        <f>F52/J52</f>
        <v>75000</v>
      </c>
      <c r="T52" s="504"/>
      <c r="U52" s="490"/>
      <c r="V52" s="490"/>
      <c r="W52" s="490"/>
    </row>
    <row r="53" spans="1:23">
      <c r="A53" s="523">
        <f t="shared" si="14"/>
        <v>49</v>
      </c>
      <c r="B53" s="1060" t="s">
        <v>591</v>
      </c>
      <c r="C53" s="542" t="s">
        <v>751</v>
      </c>
      <c r="D53" s="542" t="s">
        <v>752</v>
      </c>
      <c r="E53" s="543">
        <v>30000000</v>
      </c>
      <c r="F53" s="543">
        <v>4500000</v>
      </c>
      <c r="G53" s="544">
        <f t="shared" si="15"/>
        <v>34500000</v>
      </c>
      <c r="H53" s="543">
        <v>30000000</v>
      </c>
      <c r="I53" s="543">
        <v>4500000</v>
      </c>
      <c r="J53" s="546">
        <v>3</v>
      </c>
      <c r="K53" s="546">
        <v>3</v>
      </c>
      <c r="L53" s="1059" t="s">
        <v>284</v>
      </c>
      <c r="M53" s="543">
        <v>19500000</v>
      </c>
      <c r="N53" s="543">
        <v>4500000</v>
      </c>
      <c r="O53" s="529">
        <f t="shared" si="16"/>
        <v>24000000</v>
      </c>
      <c r="P53" s="544">
        <f t="shared" si="17"/>
        <v>10500000</v>
      </c>
      <c r="Q53" s="544">
        <f t="shared" si="18"/>
        <v>0</v>
      </c>
      <c r="R53" s="504"/>
      <c r="S53" s="504"/>
      <c r="T53" s="504"/>
      <c r="U53" s="490"/>
      <c r="V53" s="490"/>
      <c r="W53" s="490"/>
    </row>
    <row r="54" spans="1:23">
      <c r="A54" s="523">
        <f t="shared" si="14"/>
        <v>50</v>
      </c>
      <c r="B54" s="1060" t="s">
        <v>753</v>
      </c>
      <c r="C54" s="537" t="s">
        <v>581</v>
      </c>
      <c r="D54" s="537" t="s">
        <v>735</v>
      </c>
      <c r="E54" s="538">
        <v>2000000</v>
      </c>
      <c r="F54" s="538">
        <v>450000</v>
      </c>
      <c r="G54" s="539">
        <f t="shared" si="15"/>
        <v>2450000</v>
      </c>
      <c r="H54" s="538">
        <v>1930000</v>
      </c>
      <c r="I54" s="538">
        <v>420000</v>
      </c>
      <c r="J54" s="540">
        <v>15</v>
      </c>
      <c r="K54" s="548"/>
      <c r="L54" s="540"/>
      <c r="M54" s="547"/>
      <c r="N54" s="547"/>
      <c r="O54" s="521">
        <f t="shared" si="16"/>
        <v>0</v>
      </c>
      <c r="P54" s="539">
        <f t="shared" si="17"/>
        <v>1930000</v>
      </c>
      <c r="Q54" s="539">
        <f t="shared" si="18"/>
        <v>420000</v>
      </c>
      <c r="R54" s="504"/>
      <c r="S54" s="504"/>
      <c r="T54" s="504">
        <f>F54/J54</f>
        <v>30000</v>
      </c>
      <c r="U54" s="490"/>
      <c r="V54" s="490"/>
      <c r="W54" s="490"/>
    </row>
    <row r="55" spans="1:23">
      <c r="A55" s="523">
        <f t="shared" si="14"/>
        <v>51</v>
      </c>
      <c r="B55" s="1061" t="s">
        <v>754</v>
      </c>
      <c r="C55" s="542" t="s">
        <v>755</v>
      </c>
      <c r="D55" s="542" t="s">
        <v>756</v>
      </c>
      <c r="E55" s="545">
        <v>2300000</v>
      </c>
      <c r="F55" s="545">
        <v>345000</v>
      </c>
      <c r="G55" s="544">
        <f t="shared" si="15"/>
        <v>2645000</v>
      </c>
      <c r="H55" s="545">
        <v>2070000</v>
      </c>
      <c r="I55" s="545">
        <v>310500</v>
      </c>
      <c r="J55" s="546">
        <v>10</v>
      </c>
      <c r="K55" s="546">
        <v>2</v>
      </c>
      <c r="L55" s="1059" t="s">
        <v>255</v>
      </c>
      <c r="M55" s="543">
        <v>231500</v>
      </c>
      <c r="N55" s="543">
        <v>34500</v>
      </c>
      <c r="O55" s="529">
        <f t="shared" si="16"/>
        <v>266000</v>
      </c>
      <c r="P55" s="544">
        <f t="shared" si="17"/>
        <v>1838500</v>
      </c>
      <c r="Q55" s="544">
        <f t="shared" si="18"/>
        <v>276000</v>
      </c>
      <c r="R55" s="504"/>
      <c r="S55" s="504">
        <f>266000-N55</f>
        <v>231500</v>
      </c>
      <c r="T55" s="504"/>
      <c r="U55" s="490"/>
      <c r="V55" s="490"/>
      <c r="W55" s="490"/>
    </row>
    <row r="56" s="487" customFormat="1" spans="1:23">
      <c r="A56" s="523">
        <f t="shared" si="14"/>
        <v>52</v>
      </c>
      <c r="B56" s="1060" t="s">
        <v>757</v>
      </c>
      <c r="C56" s="542" t="s">
        <v>758</v>
      </c>
      <c r="D56" s="542" t="s">
        <v>759</v>
      </c>
      <c r="E56" s="545">
        <v>3400000</v>
      </c>
      <c r="F56" s="545">
        <v>510000</v>
      </c>
      <c r="G56" s="544">
        <f t="shared" si="15"/>
        <v>3910000</v>
      </c>
      <c r="H56" s="545">
        <v>2651000</v>
      </c>
      <c r="I56" s="545">
        <v>459000</v>
      </c>
      <c r="J56" s="546">
        <v>10</v>
      </c>
      <c r="K56" s="546">
        <v>2</v>
      </c>
      <c r="L56" s="1059" t="s">
        <v>335</v>
      </c>
      <c r="M56" s="543">
        <v>449000</v>
      </c>
      <c r="N56" s="543">
        <v>51000</v>
      </c>
      <c r="O56" s="529">
        <f t="shared" si="16"/>
        <v>500000</v>
      </c>
      <c r="P56" s="544">
        <f t="shared" si="17"/>
        <v>2202000</v>
      </c>
      <c r="Q56" s="544">
        <f t="shared" si="18"/>
        <v>408000</v>
      </c>
      <c r="R56" s="535"/>
      <c r="S56" s="535">
        <f>500000-N56</f>
        <v>449000</v>
      </c>
      <c r="T56" s="535"/>
      <c r="U56" s="536"/>
      <c r="V56" s="536"/>
      <c r="W56" s="536"/>
    </row>
    <row r="57" spans="1:23">
      <c r="A57" s="550" t="s">
        <v>760</v>
      </c>
      <c r="B57" s="550"/>
      <c r="C57" s="550"/>
      <c r="D57" s="550"/>
      <c r="E57" s="551">
        <f>SUM(E5:E31)</f>
        <v>325041600</v>
      </c>
      <c r="F57" s="551">
        <f>SUM(F5:F31)</f>
        <v>112176240</v>
      </c>
      <c r="G57" s="551"/>
      <c r="H57" s="551">
        <f>SUM(H5:H34)</f>
        <v>252669610</v>
      </c>
      <c r="I57" s="551"/>
      <c r="J57" s="550"/>
      <c r="K57" s="550"/>
      <c r="L57" s="550"/>
      <c r="M57" s="551">
        <f>SUM(M5:M56)</f>
        <v>26808873</v>
      </c>
      <c r="N57" s="551">
        <f>SUM(N5:N56)</f>
        <v>7987627</v>
      </c>
      <c r="O57" s="551">
        <f>SUM(O6:O56)</f>
        <v>34796500</v>
      </c>
      <c r="P57" s="552">
        <f>SUM(P5:P56)</f>
        <v>314949437</v>
      </c>
      <c r="Q57" s="551">
        <f>SUM(Q6:Q56)</f>
        <v>74686003</v>
      </c>
      <c r="R57" s="504"/>
      <c r="S57" s="504"/>
      <c r="T57" s="504"/>
      <c r="U57" s="490"/>
      <c r="V57" s="490"/>
      <c r="W57" s="490"/>
    </row>
    <row r="58" spans="1:23">
      <c r="E58" s="533"/>
      <c r="F58" s="533"/>
      <c r="L58" s="533"/>
      <c r="P58" s="553"/>
      <c r="Q58" s="554"/>
      <c r="R58" s="504">
        <f>Q34-N34</f>
        <v>24724000</v>
      </c>
      <c r="S58" s="504">
        <f>P34-M34</f>
        <v>54564300</v>
      </c>
      <c r="T58" s="504"/>
      <c r="U58" s="490"/>
      <c r="V58" s="490"/>
      <c r="W58" s="490"/>
    </row>
    <row r="59" spans="1:23">
      <c r="A59" s="353" t="s">
        <v>636</v>
      </c>
      <c r="B59" s="353"/>
      <c r="C59" s="353"/>
      <c r="D59" s="353"/>
      <c r="E59" s="353"/>
      <c r="F59" s="353"/>
      <c r="G59" s="353"/>
      <c r="H59" s="353"/>
      <c r="I59" s="353"/>
      <c r="J59" s="353"/>
      <c r="K59" s="353"/>
      <c r="L59" s="353"/>
      <c r="M59" s="353"/>
      <c r="N59" s="353"/>
      <c r="O59" s="353"/>
      <c r="P59" s="353"/>
      <c r="Q59" s="353"/>
      <c r="R59" s="504"/>
      <c r="S59" s="504"/>
      <c r="T59" s="504"/>
      <c r="U59" s="490"/>
      <c r="V59" s="490"/>
      <c r="W59" s="490"/>
    </row>
    <row r="60" spans="1:23">
      <c r="C60" s="353" t="s">
        <v>402</v>
      </c>
      <c r="D60" s="355"/>
      <c r="G60" s="353"/>
      <c r="H60" s="353"/>
      <c r="I60" s="353"/>
      <c r="J60" s="353"/>
      <c r="N60" s="555"/>
      <c r="O60" s="353" t="s">
        <v>401</v>
      </c>
      <c r="P60" s="353"/>
      <c r="Q60" s="353"/>
      <c r="T60" s="356"/>
      <c r="U60" s="356"/>
      <c r="V60" s="533"/>
    </row>
    <row r="61" spans="1:23">
      <c r="C61" s="353" t="s">
        <v>638</v>
      </c>
      <c r="D61" s="355"/>
      <c r="F61" s="353" t="s">
        <v>639</v>
      </c>
      <c r="G61" s="353"/>
      <c r="H61" s="353"/>
      <c r="I61" s="353"/>
      <c r="J61" s="353"/>
      <c r="K61" s="353"/>
      <c r="L61" s="353"/>
      <c r="N61" s="533"/>
      <c r="O61" s="353" t="s">
        <v>761</v>
      </c>
      <c r="P61" s="353"/>
      <c r="Q61" s="353"/>
      <c r="R61" s="354">
        <f>G55/J55</f>
        <v>264500</v>
      </c>
      <c r="T61" s="533"/>
      <c r="U61" s="533"/>
    </row>
    <row r="62" spans="1:23">
      <c r="C62" s="355"/>
      <c r="D62" s="356"/>
      <c r="G62" s="556"/>
      <c r="H62" s="556"/>
      <c r="I62" s="556"/>
      <c r="J62" s="356"/>
      <c r="P62" s="358"/>
      <c r="Q62" s="358"/>
      <c r="T62" s="533"/>
    </row>
    <row r="63" spans="1:23">
      <c r="C63" s="356"/>
      <c r="D63" s="357"/>
      <c r="J63" s="356"/>
      <c r="P63" s="358"/>
      <c r="Q63" s="358"/>
      <c r="T63" s="533"/>
    </row>
    <row r="64" spans="1:23">
      <c r="C64" s="357"/>
      <c r="D64" s="357"/>
      <c r="J64" s="356"/>
      <c r="N64" s="533"/>
    </row>
    <row r="65" ht="16" spans="3:17">
      <c r="C65" s="359" t="s">
        <v>762</v>
      </c>
      <c r="D65" s="357"/>
      <c r="G65" s="557"/>
      <c r="H65" s="557" t="s">
        <v>405</v>
      </c>
      <c r="I65" s="557"/>
      <c r="J65" s="557"/>
      <c r="O65" s="359" t="s">
        <v>117</v>
      </c>
      <c r="P65" s="359"/>
      <c r="Q65" s="359"/>
    </row>
  </sheetData>
  <mergeCells count="20">
    <mergeCell ref="A1:Q1"/>
    <mergeCell ref="A2:Q2"/>
    <mergeCell ref="H3:I3"/>
    <mergeCell ref="K3:O3"/>
    <mergeCell ref="P3:Q3"/>
    <mergeCell ref="A57:D57"/>
    <mergeCell ref="J57:K57"/>
    <mergeCell ref="A59:Q59"/>
    <mergeCell ref="O60:Q60"/>
    <mergeCell ref="F61:L61"/>
    <mergeCell ref="O61:Q61"/>
    <mergeCell ref="O65:Q65"/>
    <mergeCell ref="A3:A4"/>
    <mergeCell ref="B3:B4"/>
    <mergeCell ref="C3:C4"/>
    <mergeCell ref="D3:D4"/>
    <mergeCell ref="E3:E4"/>
    <mergeCell ref="F3:F4"/>
    <mergeCell ref="G3:G4"/>
    <mergeCell ref="J3:J4"/>
  </mergeCells>
  <pageMargins left="0.314583333333333" right="0.25" top="0.879166666666667" bottom="0.75" header="0.3" footer="0.3"/>
  <pageSetup paperSize="5" scale="9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81"/>
  <sheetViews>
    <sheetView view="pageBreakPreview" zoomScaleNormal="120" topLeftCell="A56" workbookViewId="0">
      <selection activeCell="C76" sqref="C76"/>
    </sheetView>
  </sheetViews>
  <sheetFormatPr defaultColWidth="9" defaultRowHeight="14.5"/>
  <cols>
    <col min="1" max="1" width="4" style="429" customWidth="1"/>
    <col min="2" max="2" width="21.1363636363636" style="430" customWidth="1"/>
    <col min="3" max="3" width="11.4272727272727" style="430" customWidth="1"/>
    <col min="4" max="4" width="12" style="430" customWidth="1"/>
    <col min="5" max="7" width="13" style="430" customWidth="1"/>
    <col min="8" max="8" width="12.7272727272727" style="430" customWidth="1"/>
    <col min="9" max="9" width="11.5727272727273" style="430" customWidth="1"/>
    <col min="10" max="10" width="13.4545454545455" style="430" customWidth="1"/>
    <col min="11" max="11" width="12" style="430" customWidth="1"/>
    <col min="12" max="12" width="11.0909090909091" style="430" customWidth="1"/>
    <col min="13" max="13" width="11.3636363636364" style="430" customWidth="1"/>
    <col min="14" max="19" width="12" style="430" customWidth="1"/>
    <col min="20" max="28" width="11.4272727272727" style="430" customWidth="1"/>
    <col min="29" max="29" width="19.1363636363636" style="430" customWidth="1"/>
    <col min="30" max="37" width="11.4272727272727" style="430" customWidth="1"/>
    <col min="38" max="16383" width="9" style="430"/>
  </cols>
  <sheetData>
    <row r="1" s="424" customFormat="1" ht="13.5" customHeight="1" spans="1:37">
      <c r="A1" s="431" t="s">
        <v>763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2"/>
      <c r="U1" s="432"/>
      <c r="V1" s="432"/>
      <c r="W1" s="432"/>
      <c r="X1" s="432"/>
      <c r="Y1" s="432"/>
      <c r="Z1" s="432"/>
      <c r="AA1" s="432"/>
      <c r="AB1" s="432"/>
      <c r="AC1" s="432"/>
      <c r="AD1" s="432"/>
      <c r="AE1" s="432"/>
      <c r="AF1" s="432"/>
      <c r="AG1" s="432"/>
      <c r="AH1" s="432"/>
      <c r="AI1" s="432"/>
      <c r="AJ1" s="432"/>
      <c r="AK1" s="432"/>
    </row>
    <row r="2" s="424" customFormat="1" ht="13.5" customHeight="1" spans="1:37">
      <c r="A2" s="431" t="s">
        <v>764</v>
      </c>
      <c r="B2" s="431"/>
      <c r="C2" s="431"/>
      <c r="D2" s="431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  <c r="P2" s="431"/>
      <c r="Q2" s="431"/>
      <c r="R2" s="431"/>
      <c r="S2" s="431"/>
      <c r="T2" s="432"/>
      <c r="U2" s="432"/>
      <c r="V2" s="432"/>
      <c r="W2" s="432"/>
      <c r="X2" s="432"/>
      <c r="Y2" s="432"/>
      <c r="Z2" s="432"/>
      <c r="AA2" s="432"/>
      <c r="AB2" s="432"/>
      <c r="AC2" s="432"/>
      <c r="AD2" s="432"/>
      <c r="AE2" s="432"/>
      <c r="AF2" s="432"/>
      <c r="AG2" s="432"/>
      <c r="AH2" s="432"/>
      <c r="AI2" s="432"/>
      <c r="AJ2" s="432"/>
      <c r="AK2" s="432"/>
    </row>
    <row r="3" s="424" customFormat="1" ht="13.5" customHeight="1" spans="1:37">
      <c r="A3" s="431" t="s">
        <v>765</v>
      </c>
      <c r="B3" s="431"/>
      <c r="C3" s="431"/>
      <c r="D3" s="431"/>
      <c r="E3" s="431"/>
      <c r="F3" s="431"/>
      <c r="G3" s="431"/>
      <c r="H3" s="431"/>
      <c r="I3" s="431"/>
      <c r="J3" s="431"/>
      <c r="K3" s="431"/>
      <c r="L3" s="431"/>
      <c r="M3" s="431"/>
      <c r="N3" s="431"/>
      <c r="O3" s="431"/>
      <c r="P3" s="431"/>
      <c r="Q3" s="431"/>
      <c r="R3" s="431"/>
      <c r="S3" s="431"/>
      <c r="T3" s="432"/>
      <c r="U3" s="432"/>
      <c r="V3" s="432"/>
      <c r="W3" s="432"/>
      <c r="X3" s="432"/>
      <c r="Y3" s="432"/>
      <c r="Z3" s="432"/>
      <c r="AA3" s="432"/>
      <c r="AB3" s="432"/>
      <c r="AC3" s="432"/>
      <c r="AD3" s="432"/>
      <c r="AE3" s="432"/>
      <c r="AF3" s="432"/>
      <c r="AG3" s="432"/>
      <c r="AH3" s="432"/>
      <c r="AI3" s="432"/>
      <c r="AJ3" s="432"/>
      <c r="AK3" s="432"/>
    </row>
    <row r="5" s="425" customFormat="1" ht="12.75" customHeight="1" spans="1:37">
      <c r="A5" s="433" t="s">
        <v>414</v>
      </c>
      <c r="B5" s="434" t="s">
        <v>766</v>
      </c>
      <c r="C5" s="435" t="s">
        <v>181</v>
      </c>
      <c r="D5" s="436"/>
      <c r="E5" s="436"/>
      <c r="F5" s="436"/>
      <c r="G5" s="436"/>
      <c r="H5" s="436"/>
      <c r="I5" s="435" t="s">
        <v>182</v>
      </c>
      <c r="J5" s="436"/>
      <c r="K5" s="436"/>
      <c r="L5" s="436"/>
      <c r="M5" s="436"/>
      <c r="N5" s="436"/>
      <c r="O5" s="435" t="s">
        <v>767</v>
      </c>
      <c r="P5" s="436"/>
      <c r="Q5" s="436"/>
      <c r="R5" s="436"/>
      <c r="S5" s="436"/>
      <c r="T5" s="437"/>
    </row>
    <row r="6" s="425" customFormat="1" ht="12.75" customHeight="1" spans="1:37">
      <c r="A6" s="438"/>
      <c r="B6" s="439"/>
      <c r="C6" s="433" t="s">
        <v>127</v>
      </c>
      <c r="D6" s="434" t="s">
        <v>210</v>
      </c>
      <c r="E6" s="440" t="s">
        <v>768</v>
      </c>
      <c r="F6" s="440" t="s">
        <v>769</v>
      </c>
      <c r="G6" s="440"/>
      <c r="H6" s="440"/>
      <c r="I6" s="433" t="s">
        <v>127</v>
      </c>
      <c r="J6" s="434" t="s">
        <v>210</v>
      </c>
      <c r="K6" s="440" t="s">
        <v>768</v>
      </c>
      <c r="L6" s="440" t="s">
        <v>769</v>
      </c>
      <c r="M6" s="440"/>
      <c r="N6" s="440"/>
      <c r="O6" s="433" t="s">
        <v>127</v>
      </c>
      <c r="P6" s="434" t="s">
        <v>210</v>
      </c>
      <c r="Q6" s="440" t="s">
        <v>768</v>
      </c>
      <c r="R6" s="436" t="s">
        <v>769</v>
      </c>
      <c r="S6" s="436"/>
      <c r="T6" s="437"/>
    </row>
    <row r="7" s="425" customFormat="1" ht="12.75" customHeight="1" spans="1:37">
      <c r="A7" s="441"/>
      <c r="B7" s="442"/>
      <c r="C7" s="441"/>
      <c r="D7" s="442"/>
      <c r="E7" s="440"/>
      <c r="F7" s="443" t="s">
        <v>770</v>
      </c>
      <c r="G7" s="442" t="s">
        <v>771</v>
      </c>
      <c r="H7" s="444" t="s">
        <v>772</v>
      </c>
      <c r="I7" s="441"/>
      <c r="J7" s="442"/>
      <c r="K7" s="440"/>
      <c r="L7" s="443" t="s">
        <v>770</v>
      </c>
      <c r="M7" s="442" t="s">
        <v>771</v>
      </c>
      <c r="N7" s="441" t="s">
        <v>772</v>
      </c>
      <c r="O7" s="441"/>
      <c r="P7" s="442"/>
      <c r="Q7" s="440"/>
      <c r="R7" s="437" t="s">
        <v>770</v>
      </c>
      <c r="S7" s="440" t="s">
        <v>771</v>
      </c>
      <c r="T7" s="440" t="s">
        <v>772</v>
      </c>
    </row>
    <row r="8" s="426" customFormat="1" ht="12.75" customHeight="1" spans="1:37">
      <c r="A8" s="445">
        <v>1</v>
      </c>
      <c r="B8" s="446" t="s">
        <v>214</v>
      </c>
      <c r="C8" s="447">
        <f>SUM('[49]RUGI LABA '!$C$12)</f>
        <v>3403256</v>
      </c>
      <c r="D8" s="448">
        <f>SUM('[49]RUGI LABA '!$F$26)</f>
        <v>16176633.3333333</v>
      </c>
      <c r="E8" s="448">
        <f>SUM(C16-D8)</f>
        <v>901042.6666667</v>
      </c>
      <c r="F8" s="448">
        <f>E8*75%</f>
        <v>675782.000000025</v>
      </c>
      <c r="G8" s="448">
        <f>E8*20%</f>
        <v>180208.53333334</v>
      </c>
      <c r="H8" s="449">
        <f>SUM(E8*5%)</f>
        <v>45052.133333335</v>
      </c>
      <c r="I8" s="447">
        <f>SUM([50]REKAP!$I$8)</f>
        <v>4175520</v>
      </c>
      <c r="J8" s="448">
        <f>SUM([50]REKAP!$J$8)</f>
        <v>15481633.3333333</v>
      </c>
      <c r="K8" s="448">
        <f>SUM(I16-J8)</f>
        <v>850888.66666666</v>
      </c>
      <c r="L8" s="448">
        <f>SUM(K8*75%)</f>
        <v>638166.499999995</v>
      </c>
      <c r="M8" s="448">
        <f>SUM(K8*20%)</f>
        <v>170177.733333332</v>
      </c>
      <c r="N8" s="448">
        <f>SUM(K8*5%)</f>
        <v>42544.433333333</v>
      </c>
      <c r="O8" s="447">
        <f>SUM([51]REKAP!$O$8)</f>
        <v>2957700</v>
      </c>
      <c r="P8" s="448">
        <f>SUM([51]REKAP!$P$8)</f>
        <v>16406633</v>
      </c>
      <c r="Q8" s="448">
        <f>SUM(O16-P8)</f>
        <v>1426243</v>
      </c>
      <c r="R8" s="450">
        <f>SUM(Q8*75%)</f>
        <v>1069682.25</v>
      </c>
      <c r="S8" s="448">
        <f>SUM(Q8*20%)</f>
        <v>285248.6</v>
      </c>
      <c r="T8" s="448">
        <f>SUM(Q8*5%)</f>
        <v>71312.15</v>
      </c>
      <c r="U8" s="451"/>
      <c r="V8" s="451">
        <f>SUM(C8+I8+O8)</f>
        <v>10536476</v>
      </c>
      <c r="W8" s="452">
        <v>8525975</v>
      </c>
    </row>
    <row r="9" s="426" customFormat="1" ht="12.75" customHeight="1" spans="1:37">
      <c r="A9" s="445">
        <v>2</v>
      </c>
      <c r="B9" s="446" t="s">
        <v>212</v>
      </c>
      <c r="C9" s="447">
        <f>SUM('[49]RUGI LABA '!$C$9)</f>
        <v>8815913</v>
      </c>
      <c r="D9" s="448"/>
      <c r="E9" s="448"/>
      <c r="F9" s="448"/>
      <c r="G9" s="448"/>
      <c r="H9" s="449"/>
      <c r="I9" s="447">
        <f>SUM([50]REKAP!$I$9)</f>
        <v>7794055</v>
      </c>
      <c r="J9" s="448"/>
      <c r="K9" s="448"/>
      <c r="L9" s="448"/>
      <c r="M9" s="448"/>
      <c r="N9" s="448"/>
      <c r="O9" s="447">
        <f>SUM([51]REKAP!$O$9)</f>
        <v>7005396</v>
      </c>
      <c r="P9" s="448"/>
      <c r="Q9" s="448"/>
      <c r="R9" s="450"/>
      <c r="S9" s="448"/>
      <c r="T9" s="448"/>
      <c r="U9" s="451"/>
      <c r="V9" s="451">
        <f>C9+I9+O9</f>
        <v>23615364</v>
      </c>
    </row>
    <row r="10" s="426" customFormat="1" ht="12.75" customHeight="1" spans="1:37">
      <c r="A10" s="445">
        <v>3</v>
      </c>
      <c r="B10" s="446" t="s">
        <v>773</v>
      </c>
      <c r="C10" s="447">
        <f>SUM('[49]RUGI LABA '!$C$13)</f>
        <v>3631205</v>
      </c>
      <c r="D10" s="448"/>
      <c r="E10" s="448"/>
      <c r="F10" s="448"/>
      <c r="G10" s="448"/>
      <c r="H10" s="449"/>
      <c r="I10" s="447">
        <f>SUM([50]REKAP!$I$10)</f>
        <v>3306497</v>
      </c>
      <c r="J10" s="448"/>
      <c r="K10" s="448"/>
      <c r="L10" s="448"/>
      <c r="M10" s="448"/>
      <c r="N10" s="448"/>
      <c r="O10" s="447">
        <f>SUM([51]REKAP!$O$10)</f>
        <v>4016780</v>
      </c>
      <c r="P10" s="448"/>
      <c r="Q10" s="448"/>
      <c r="R10" s="450"/>
      <c r="S10" s="448"/>
      <c r="T10" s="448"/>
      <c r="U10" s="451"/>
      <c r="V10" s="451">
        <f>C10+I10+O10</f>
        <v>10954482</v>
      </c>
    </row>
    <row r="11" s="426" customFormat="1" ht="12.75" customHeight="1" spans="1:37">
      <c r="A11" s="445">
        <v>4</v>
      </c>
      <c r="B11" s="446" t="s">
        <v>774</v>
      </c>
      <c r="C11" s="447"/>
      <c r="D11" s="448"/>
      <c r="E11" s="448"/>
      <c r="F11" s="448"/>
      <c r="G11" s="448"/>
      <c r="H11" s="449"/>
      <c r="I11" s="447"/>
      <c r="J11" s="448"/>
      <c r="K11" s="448"/>
      <c r="L11" s="448"/>
      <c r="M11" s="448"/>
      <c r="N11" s="448"/>
      <c r="O11" s="447">
        <f>SUM([51]REKAP!$O$11)</f>
        <v>2675000</v>
      </c>
      <c r="P11" s="448"/>
      <c r="Q11" s="448"/>
      <c r="R11" s="450"/>
      <c r="S11" s="448"/>
      <c r="T11" s="448"/>
      <c r="U11" s="451"/>
      <c r="V11" s="451">
        <f>C11+I11+O11</f>
        <v>2675000</v>
      </c>
    </row>
    <row r="12" s="426" customFormat="1" ht="12.75" customHeight="1" spans="1:37">
      <c r="A12" s="445">
        <v>5</v>
      </c>
      <c r="B12" s="446" t="s">
        <v>775</v>
      </c>
      <c r="C12" s="447">
        <f>SUM('[49]RUGI LABA '!$C$10)</f>
        <v>800000</v>
      </c>
      <c r="D12" s="448"/>
      <c r="E12" s="448"/>
      <c r="F12" s="448"/>
      <c r="G12" s="448"/>
      <c r="H12" s="449"/>
      <c r="I12" s="447">
        <f>SUM([50]REKAP!$I$12)</f>
        <v>800000</v>
      </c>
      <c r="J12" s="448"/>
      <c r="K12" s="448"/>
      <c r="L12" s="448"/>
      <c r="M12" s="448"/>
      <c r="N12" s="448"/>
      <c r="O12" s="447">
        <f>SUM([51]REKAP!$O$12)</f>
        <v>800000</v>
      </c>
      <c r="P12" s="448"/>
      <c r="Q12" s="448"/>
      <c r="R12" s="450"/>
      <c r="S12" s="448"/>
      <c r="T12" s="448"/>
      <c r="U12" s="451"/>
      <c r="V12" s="451">
        <f>C12+I12+O12</f>
        <v>2400000</v>
      </c>
      <c r="Z12" s="451">
        <f>SUM(V8+V22)</f>
        <v>21909486</v>
      </c>
    </row>
    <row r="13" s="426" customFormat="1" ht="12.75" customHeight="1" spans="1:37">
      <c r="A13" s="445">
        <v>6</v>
      </c>
      <c r="B13" s="446" t="s">
        <v>218</v>
      </c>
      <c r="C13" s="447">
        <v>0</v>
      </c>
      <c r="D13" s="448"/>
      <c r="E13" s="448"/>
      <c r="F13" s="448"/>
      <c r="G13" s="448"/>
      <c r="H13" s="449"/>
      <c r="I13" s="447"/>
      <c r="J13" s="448"/>
      <c r="K13" s="448"/>
      <c r="L13" s="448"/>
      <c r="M13" s="448"/>
      <c r="N13" s="448"/>
      <c r="O13" s="447"/>
      <c r="P13" s="448"/>
      <c r="Q13" s="448"/>
      <c r="R13" s="450"/>
      <c r="S13" s="448"/>
      <c r="T13" s="448"/>
      <c r="Z13" s="451">
        <f>V9+V23</f>
        <v>45448352</v>
      </c>
    </row>
    <row r="14" s="426" customFormat="1" ht="12.75" customHeight="1" spans="1:37">
      <c r="A14" s="445">
        <v>7</v>
      </c>
      <c r="B14" s="446" t="s">
        <v>217</v>
      </c>
      <c r="C14" s="447">
        <f>SUM('[49]RUGI LABA '!$C$11)</f>
        <v>195000</v>
      </c>
      <c r="D14" s="448"/>
      <c r="E14" s="448"/>
      <c r="F14" s="448"/>
      <c r="G14" s="448"/>
      <c r="H14" s="449"/>
      <c r="I14" s="447">
        <f>SUM([50]REKAP!$I$14)</f>
        <v>30000</v>
      </c>
      <c r="J14" s="448"/>
      <c r="K14" s="448"/>
      <c r="L14" s="448"/>
      <c r="M14" s="448"/>
      <c r="N14" s="448"/>
      <c r="O14" s="447"/>
      <c r="P14" s="448"/>
      <c r="Q14" s="448"/>
      <c r="R14" s="450"/>
      <c r="S14" s="448"/>
      <c r="T14" s="448"/>
      <c r="Z14" s="451"/>
    </row>
    <row r="15" s="426" customFormat="1" ht="12.75" customHeight="1" spans="1:37">
      <c r="A15" s="445">
        <v>8</v>
      </c>
      <c r="B15" s="446" t="s">
        <v>776</v>
      </c>
      <c r="C15" s="447">
        <f>SUM('[49]RUGI LABA '!$C$16)</f>
        <v>232302</v>
      </c>
      <c r="D15" s="448"/>
      <c r="E15" s="448"/>
      <c r="F15" s="448"/>
      <c r="G15" s="448"/>
      <c r="H15" s="453"/>
      <c r="I15" s="447">
        <f>SUM([50]REKAP!$I$15)</f>
        <v>226450</v>
      </c>
      <c r="J15" s="448"/>
      <c r="K15" s="448"/>
      <c r="L15" s="448"/>
      <c r="M15" s="448"/>
      <c r="N15" s="448"/>
      <c r="O15" s="447">
        <f>SUM([51]REKAP!$O$15)</f>
        <v>378000</v>
      </c>
      <c r="P15" s="448"/>
      <c r="Q15" s="448"/>
      <c r="R15" s="450"/>
      <c r="S15" s="448"/>
      <c r="T15" s="448"/>
      <c r="Z15" s="451"/>
    </row>
    <row r="16" s="427" customFormat="1" ht="12.75" customHeight="1" spans="1:37">
      <c r="A16" s="440"/>
      <c r="B16" s="454" t="s">
        <v>111</v>
      </c>
      <c r="C16" s="455">
        <f>SUM(C8:C15)</f>
        <v>17077676</v>
      </c>
      <c r="D16" s="455"/>
      <c r="E16" s="455"/>
      <c r="F16" s="455"/>
      <c r="G16" s="455"/>
      <c r="H16" s="455"/>
      <c r="I16" s="455">
        <f>SUM(I8:I15)</f>
        <v>16332522</v>
      </c>
      <c r="J16" s="455"/>
      <c r="K16" s="455"/>
      <c r="L16" s="455"/>
      <c r="M16" s="455"/>
      <c r="N16" s="455"/>
      <c r="O16" s="455">
        <f>SUM(O8:O15)</f>
        <v>17832876</v>
      </c>
      <c r="P16" s="455"/>
      <c r="Q16" s="455"/>
      <c r="R16" s="455"/>
      <c r="S16" s="455"/>
      <c r="T16" s="455"/>
      <c r="U16" s="456"/>
      <c r="V16" s="456">
        <f>SUM(V8:V13)</f>
        <v>50181322</v>
      </c>
      <c r="W16" s="456">
        <f>D8+J8+P8</f>
        <v>48064899.6666666</v>
      </c>
      <c r="X16" s="457"/>
      <c r="Y16" s="457"/>
      <c r="Z16" s="457">
        <f>SUM(V10+V24)</f>
        <v>25927317</v>
      </c>
      <c r="AA16" s="457"/>
    </row>
    <row r="17" s="427" customFormat="1" ht="12.75" customHeight="1" spans="1:37">
      <c r="A17" s="458"/>
      <c r="B17" s="459"/>
      <c r="C17" s="460"/>
      <c r="D17" s="460"/>
      <c r="E17" s="460"/>
      <c r="F17" s="460"/>
      <c r="G17" s="460"/>
      <c r="H17" s="460"/>
      <c r="I17" s="460"/>
      <c r="J17" s="460"/>
      <c r="K17" s="460"/>
      <c r="L17" s="460">
        <f>SUM(F8+L8)</f>
        <v>1313948.50000002</v>
      </c>
      <c r="M17" s="460">
        <f>SUM(G8+M8)</f>
        <v>350386.266666672</v>
      </c>
      <c r="N17" s="460"/>
      <c r="O17" s="460"/>
      <c r="P17" s="460"/>
      <c r="Q17" s="460"/>
      <c r="R17" s="460">
        <f>SUM(L17+R8)</f>
        <v>2383630.75000002</v>
      </c>
      <c r="S17" s="460">
        <f>SUM(M17+S8)</f>
        <v>635634.866666672</v>
      </c>
      <c r="W17" s="456">
        <f>E8+K8+Q8</f>
        <v>3178174.33333336</v>
      </c>
      <c r="X17" s="461">
        <f>W17*75%</f>
        <v>2383630.75000002</v>
      </c>
      <c r="Y17" s="461"/>
      <c r="Z17" s="461">
        <f>SUM(V11+V25)</f>
        <v>7914000</v>
      </c>
      <c r="AA17" s="461"/>
    </row>
    <row r="18" s="427" customFormat="1" ht="12.75" customHeight="1" spans="1:37">
      <c r="A18" s="458"/>
      <c r="B18" s="459"/>
      <c r="C18" s="460"/>
      <c r="D18" s="460"/>
      <c r="E18" s="460"/>
      <c r="F18" s="460"/>
      <c r="G18" s="460"/>
      <c r="H18" s="460"/>
      <c r="I18" s="460"/>
      <c r="J18" s="460"/>
      <c r="K18" s="460"/>
      <c r="L18" s="460"/>
      <c r="M18" s="460"/>
      <c r="N18" s="460"/>
      <c r="O18" s="460"/>
      <c r="P18" s="460"/>
      <c r="Q18" s="460"/>
      <c r="R18" s="460"/>
      <c r="S18" s="460"/>
      <c r="W18" s="456">
        <f>V16-W16</f>
        <v>2116422.3333334</v>
      </c>
      <c r="X18" s="461">
        <f>W17*20%</f>
        <v>635634.866666672</v>
      </c>
      <c r="Y18" s="461">
        <f>F8+L8+R8</f>
        <v>2383630.75000002</v>
      </c>
      <c r="Z18" s="461">
        <f>SUM(V12+V26)</f>
        <v>4800000</v>
      </c>
      <c r="AA18" s="461">
        <f>W16+W30</f>
        <v>100447799.666667</v>
      </c>
    </row>
    <row r="19" s="427" customFormat="1" ht="12.75" customHeight="1" spans="1:37">
      <c r="A19" s="433" t="s">
        <v>414</v>
      </c>
      <c r="B19" s="434" t="s">
        <v>766</v>
      </c>
      <c r="C19" s="435" t="s">
        <v>777</v>
      </c>
      <c r="D19" s="436"/>
      <c r="E19" s="436"/>
      <c r="F19" s="436"/>
      <c r="G19" s="437"/>
      <c r="H19" s="436"/>
      <c r="I19" s="435" t="s">
        <v>185</v>
      </c>
      <c r="J19" s="436"/>
      <c r="K19" s="436"/>
      <c r="L19" s="436"/>
      <c r="M19" s="437"/>
      <c r="N19" s="436"/>
      <c r="O19" s="435" t="s">
        <v>778</v>
      </c>
      <c r="P19" s="436"/>
      <c r="Q19" s="436"/>
      <c r="R19" s="436"/>
      <c r="S19" s="436"/>
      <c r="T19" s="437"/>
      <c r="X19" s="456">
        <f>W17*5%</f>
        <v>158908.716666668</v>
      </c>
      <c r="Z19" s="456">
        <f>SUM(Z12:Z18)</f>
        <v>105999155</v>
      </c>
      <c r="AA19" s="456">
        <f>W17+W31</f>
        <v>19485463.3333334</v>
      </c>
    </row>
    <row r="20" s="427" customFormat="1" ht="12.75" customHeight="1" spans="1:37">
      <c r="A20" s="438"/>
      <c r="B20" s="439"/>
      <c r="C20" s="433" t="s">
        <v>127</v>
      </c>
      <c r="D20" s="434" t="s">
        <v>210</v>
      </c>
      <c r="E20" s="440" t="s">
        <v>768</v>
      </c>
      <c r="F20" s="462" t="s">
        <v>769</v>
      </c>
      <c r="G20" s="462"/>
      <c r="H20" s="463"/>
      <c r="I20" s="433" t="s">
        <v>127</v>
      </c>
      <c r="J20" s="434" t="s">
        <v>210</v>
      </c>
      <c r="K20" s="440" t="s">
        <v>768</v>
      </c>
      <c r="L20" s="462" t="s">
        <v>769</v>
      </c>
      <c r="M20" s="462"/>
      <c r="N20" s="463"/>
      <c r="O20" s="433" t="s">
        <v>127</v>
      </c>
      <c r="P20" s="434" t="s">
        <v>210</v>
      </c>
      <c r="Q20" s="440" t="s">
        <v>768</v>
      </c>
      <c r="R20" s="464" t="s">
        <v>769</v>
      </c>
      <c r="S20" s="465"/>
      <c r="T20" s="465"/>
      <c r="AA20" s="456">
        <f>AA19*75%</f>
        <v>14614097.5</v>
      </c>
      <c r="AB20" s="456">
        <f>AA19*20%</f>
        <v>3897092.66666668</v>
      </c>
    </row>
    <row r="21" s="427" customFormat="1" ht="12.75" customHeight="1" spans="1:37">
      <c r="A21" s="441"/>
      <c r="B21" s="442"/>
      <c r="C21" s="441"/>
      <c r="D21" s="442"/>
      <c r="E21" s="440"/>
      <c r="F21" s="443" t="s">
        <v>770</v>
      </c>
      <c r="G21" s="442" t="s">
        <v>771</v>
      </c>
      <c r="H21" s="441" t="s">
        <v>772</v>
      </c>
      <c r="I21" s="441"/>
      <c r="J21" s="442"/>
      <c r="K21" s="440"/>
      <c r="L21" s="443" t="s">
        <v>770</v>
      </c>
      <c r="M21" s="442" t="s">
        <v>771</v>
      </c>
      <c r="N21" s="441" t="s">
        <v>772</v>
      </c>
      <c r="O21" s="441"/>
      <c r="P21" s="442"/>
      <c r="Q21" s="440"/>
      <c r="R21" s="437" t="s">
        <v>770</v>
      </c>
      <c r="S21" s="440" t="s">
        <v>771</v>
      </c>
      <c r="T21" s="440" t="s">
        <v>772</v>
      </c>
      <c r="AA21" s="456">
        <f>SUM(AA19*20%)</f>
        <v>3897092.66666668</v>
      </c>
      <c r="AB21" s="456">
        <f>X18+X32</f>
        <v>3897092.66666668</v>
      </c>
    </row>
    <row r="22" s="427" customFormat="1" ht="12.75" customHeight="1" spans="1:37">
      <c r="A22" s="445">
        <v>1</v>
      </c>
      <c r="B22" s="446" t="s">
        <v>214</v>
      </c>
      <c r="C22" s="447">
        <f>SUM([52]REKAP!$C$22)</f>
        <v>4162140</v>
      </c>
      <c r="D22" s="448">
        <f>SUM('RUGI LABA '!F26)</f>
        <v>18880216.6666667</v>
      </c>
      <c r="E22" s="448">
        <f>SUM(C30-D22)</f>
        <v>3820260.33333333</v>
      </c>
      <c r="F22" s="448">
        <f>SUM(E22*75%)</f>
        <v>2865195.25</v>
      </c>
      <c r="G22" s="448">
        <f>SUM(E22*20%)</f>
        <v>764052.066666666</v>
      </c>
      <c r="H22" s="448">
        <f>SUM(E22*5%)</f>
        <v>191013.016666666</v>
      </c>
      <c r="I22" s="447">
        <f>SUM([53]REKAP!$I$22)</f>
        <v>4614400</v>
      </c>
      <c r="J22" s="448">
        <f>SUM([53]REKAP!$J$22)</f>
        <v>17361633.3333333</v>
      </c>
      <c r="K22" s="448">
        <f>SUM(I30-J22)</f>
        <v>10712248.6666667</v>
      </c>
      <c r="L22" s="448">
        <f>K22*75%</f>
        <v>8034186.50000003</v>
      </c>
      <c r="M22" s="448">
        <f>K22*20%</f>
        <v>2142449.73333334</v>
      </c>
      <c r="N22" s="448">
        <f>SUM(K22*5%)</f>
        <v>535612.433333335</v>
      </c>
      <c r="O22" s="447">
        <f>SUM([54]REKAP!$O$22)</f>
        <v>2596470</v>
      </c>
      <c r="P22" s="448">
        <f>SUM([54]REKAP!$P$22)</f>
        <v>16141050</v>
      </c>
      <c r="Q22" s="448">
        <f>O30-P22</f>
        <v>1774780</v>
      </c>
      <c r="R22" s="450">
        <f>Q22*75%</f>
        <v>1331085</v>
      </c>
      <c r="S22" s="448">
        <f>Q22*20%</f>
        <v>354956</v>
      </c>
      <c r="T22" s="448">
        <f>Q22*5%</f>
        <v>88739</v>
      </c>
      <c r="U22" s="456"/>
      <c r="V22" s="456">
        <f>SUM(C22+I22+O22)</f>
        <v>11373010</v>
      </c>
      <c r="AA22" s="456">
        <f>SUM(AA19*5%)</f>
        <v>974273.166666669</v>
      </c>
    </row>
    <row r="23" s="427" customFormat="1" ht="12.75" customHeight="1" spans="1:37">
      <c r="A23" s="445">
        <v>2</v>
      </c>
      <c r="B23" s="446" t="s">
        <v>212</v>
      </c>
      <c r="C23" s="447">
        <f>SUM([52]REKAP!$C$23)</f>
        <v>7404097</v>
      </c>
      <c r="D23" s="448"/>
      <c r="E23" s="448"/>
      <c r="F23" s="448"/>
      <c r="G23" s="448"/>
      <c r="H23" s="448"/>
      <c r="I23" s="447">
        <f>SUM([53]REKAP!$I$23)</f>
        <v>6592431</v>
      </c>
      <c r="J23" s="448"/>
      <c r="K23" s="448"/>
      <c r="L23" s="448"/>
      <c r="M23" s="448"/>
      <c r="N23" s="448"/>
      <c r="O23" s="447">
        <f>SUM([54]REKAP!$O$23)</f>
        <v>7836460</v>
      </c>
      <c r="P23" s="448"/>
      <c r="Q23" s="448"/>
      <c r="R23" s="450"/>
      <c r="S23" s="448"/>
      <c r="T23" s="448"/>
      <c r="U23" s="456"/>
      <c r="V23" s="456">
        <f>C23+I23+O23</f>
        <v>21832988</v>
      </c>
    </row>
    <row r="24" s="427" customFormat="1" ht="12.75" customHeight="1" spans="1:37">
      <c r="A24" s="445">
        <v>3</v>
      </c>
      <c r="B24" s="446" t="s">
        <v>773</v>
      </c>
      <c r="C24" s="447">
        <f>SUM([52]REKAP!$C$24)</f>
        <v>7447000</v>
      </c>
      <c r="D24" s="448"/>
      <c r="E24" s="448"/>
      <c r="F24" s="448"/>
      <c r="G24" s="448"/>
      <c r="H24" s="448"/>
      <c r="I24" s="447">
        <f>SUM([53]REKAP!$I$24)</f>
        <v>3984169</v>
      </c>
      <c r="J24" s="448"/>
      <c r="K24" s="448"/>
      <c r="L24" s="448"/>
      <c r="M24" s="448"/>
      <c r="N24" s="448"/>
      <c r="O24" s="447">
        <f>SUM([54]REKAP!$O$24)</f>
        <v>3541666</v>
      </c>
      <c r="P24" s="448"/>
      <c r="Q24" s="448"/>
      <c r="R24" s="450"/>
      <c r="S24" s="448"/>
      <c r="T24" s="448"/>
      <c r="U24" s="456"/>
      <c r="V24" s="456">
        <f>C24+I24+O24</f>
        <v>14972835</v>
      </c>
    </row>
    <row r="25" s="427" customFormat="1" ht="12.75" customHeight="1" spans="1:37">
      <c r="A25" s="445">
        <v>4</v>
      </c>
      <c r="B25" s="446" t="s">
        <v>774</v>
      </c>
      <c r="C25" s="447">
        <f>SUM([52]REKAP!$C$25)</f>
        <v>2500000</v>
      </c>
      <c r="D25" s="448"/>
      <c r="E25" s="448"/>
      <c r="F25" s="448"/>
      <c r="G25" s="448"/>
      <c r="H25" s="448"/>
      <c r="I25" s="447"/>
      <c r="J25" s="448"/>
      <c r="K25" s="448"/>
      <c r="L25" s="448"/>
      <c r="M25" s="448"/>
      <c r="N25" s="448"/>
      <c r="O25" s="447">
        <f>SUM([54]REKAP!$O$25)</f>
        <v>2739000</v>
      </c>
      <c r="P25" s="448"/>
      <c r="Q25" s="448"/>
      <c r="R25" s="450"/>
      <c r="S25" s="448"/>
      <c r="T25" s="448"/>
      <c r="U25" s="456"/>
      <c r="V25" s="456">
        <f>C25+I25+O25</f>
        <v>5239000</v>
      </c>
    </row>
    <row r="26" s="427" customFormat="1" ht="12.75" customHeight="1" spans="1:37">
      <c r="A26" s="445">
        <v>5</v>
      </c>
      <c r="B26" s="446" t="s">
        <v>775</v>
      </c>
      <c r="C26" s="447">
        <f>SUM([52]REKAP!$C$26)</f>
        <v>800000</v>
      </c>
      <c r="D26" s="448"/>
      <c r="E26" s="448"/>
      <c r="F26" s="448"/>
      <c r="G26" s="448"/>
      <c r="H26" s="448"/>
      <c r="I26" s="447">
        <v>800000</v>
      </c>
      <c r="J26" s="448"/>
      <c r="K26" s="448"/>
      <c r="L26" s="448"/>
      <c r="M26" s="448"/>
      <c r="N26" s="448"/>
      <c r="O26" s="447">
        <f>SUM([54]REKAP!$O$26)</f>
        <v>800000</v>
      </c>
      <c r="P26" s="448"/>
      <c r="Q26" s="448"/>
      <c r="R26" s="450"/>
      <c r="S26" s="448"/>
      <c r="T26" s="448"/>
      <c r="U26" s="456"/>
      <c r="V26" s="456">
        <f>C26+I26+O26</f>
        <v>2400000</v>
      </c>
    </row>
    <row r="27" s="427" customFormat="1" ht="12.75" customHeight="1" spans="1:37">
      <c r="A27" s="445">
        <v>6</v>
      </c>
      <c r="B27" s="446" t="s">
        <v>218</v>
      </c>
      <c r="C27" s="447"/>
      <c r="D27" s="448"/>
      <c r="E27" s="448"/>
      <c r="F27" s="448"/>
      <c r="G27" s="448"/>
      <c r="H27" s="448"/>
      <c r="I27" s="447">
        <f>SUM([53]REKAP!$I$27)</f>
        <v>11702600</v>
      </c>
      <c r="J27" s="448"/>
      <c r="K27" s="448"/>
      <c r="L27" s="448"/>
      <c r="M27" s="448"/>
      <c r="N27" s="448"/>
      <c r="O27" s="447"/>
      <c r="P27" s="448"/>
      <c r="Q27" s="448"/>
      <c r="R27" s="450"/>
      <c r="S27" s="448"/>
      <c r="T27" s="448"/>
      <c r="U27" s="456"/>
      <c r="V27" s="456"/>
    </row>
    <row r="28" s="427" customFormat="1" ht="12.75" customHeight="1" spans="1:37">
      <c r="A28" s="445">
        <v>7</v>
      </c>
      <c r="B28" s="446" t="s">
        <v>217</v>
      </c>
      <c r="C28" s="447"/>
      <c r="D28" s="448"/>
      <c r="E28" s="448"/>
      <c r="F28" s="448"/>
      <c r="G28" s="448"/>
      <c r="H28" s="448"/>
      <c r="I28" s="447"/>
      <c r="J28" s="448"/>
      <c r="K28" s="448"/>
      <c r="L28" s="448"/>
      <c r="M28" s="448"/>
      <c r="N28" s="448"/>
      <c r="O28" s="447"/>
      <c r="P28" s="448"/>
      <c r="Q28" s="448"/>
      <c r="R28" s="450"/>
      <c r="S28" s="448"/>
      <c r="T28" s="448"/>
      <c r="U28" s="456"/>
      <c r="V28" s="456"/>
    </row>
    <row r="29" s="427" customFormat="1" ht="12.75" customHeight="1" spans="1:37">
      <c r="A29" s="445">
        <v>8</v>
      </c>
      <c r="B29" s="446" t="s">
        <v>776</v>
      </c>
      <c r="C29" s="447">
        <f>SUM([52]REKAP!$C$29)</f>
        <v>387240</v>
      </c>
      <c r="D29" s="448"/>
      <c r="E29" s="448"/>
      <c r="F29" s="448"/>
      <c r="G29" s="448"/>
      <c r="H29" s="448"/>
      <c r="I29" s="447">
        <f>SUM([53]REKAP!$I$29)</f>
        <v>380282</v>
      </c>
      <c r="J29" s="448"/>
      <c r="K29" s="448"/>
      <c r="L29" s="448"/>
      <c r="M29" s="448"/>
      <c r="N29" s="448"/>
      <c r="O29" s="447">
        <f>SUM([54]REKAP!$O$29)</f>
        <v>402234</v>
      </c>
      <c r="P29" s="448"/>
      <c r="Q29" s="448"/>
      <c r="R29" s="450"/>
      <c r="S29" s="448"/>
      <c r="T29" s="448"/>
      <c r="AB29" s="427" t="s">
        <v>779</v>
      </c>
      <c r="AC29" s="456">
        <f>Z13+AA46</f>
        <v>59950721</v>
      </c>
    </row>
    <row r="30" s="427" customFormat="1" ht="12.75" customHeight="1" spans="1:37">
      <c r="A30" s="440"/>
      <c r="B30" s="454" t="s">
        <v>111</v>
      </c>
      <c r="C30" s="455">
        <f>SUM(C22:C29)</f>
        <v>22700477</v>
      </c>
      <c r="D30" s="455"/>
      <c r="E30" s="455"/>
      <c r="F30" s="455"/>
      <c r="G30" s="455"/>
      <c r="H30" s="455"/>
      <c r="I30" s="455">
        <f>SUM(I22:I29)</f>
        <v>28073882</v>
      </c>
      <c r="J30" s="455"/>
      <c r="K30" s="455"/>
      <c r="L30" s="455"/>
      <c r="M30" s="455"/>
      <c r="N30" s="455"/>
      <c r="O30" s="455">
        <f>SUM(O22:O29)</f>
        <v>17915830</v>
      </c>
      <c r="P30" s="455"/>
      <c r="Q30" s="455"/>
      <c r="R30" s="455"/>
      <c r="S30" s="455"/>
      <c r="T30" s="455"/>
      <c r="U30" s="456"/>
      <c r="V30" s="456">
        <f>C30+I30+O30</f>
        <v>68690189</v>
      </c>
      <c r="W30" s="456">
        <f>D22+J22+P22</f>
        <v>52382900</v>
      </c>
      <c r="X30" s="456"/>
      <c r="AB30" s="427" t="s">
        <v>780</v>
      </c>
      <c r="AC30" s="456" t="e">
        <f>#REF!+AA47</f>
        <v>#REF!</v>
      </c>
    </row>
    <row r="31" s="427" customFormat="1" ht="12.75" customHeight="1" spans="1:37">
      <c r="A31" s="458"/>
      <c r="B31" s="459"/>
      <c r="C31" s="460"/>
      <c r="D31" s="460"/>
      <c r="E31" s="460"/>
      <c r="F31" s="460">
        <f>SUM(F22+R17)</f>
        <v>5248826.00000002</v>
      </c>
      <c r="G31" s="460">
        <f>SUM(G22+S17)</f>
        <v>1399686.93333334</v>
      </c>
      <c r="H31" s="460"/>
      <c r="I31" s="460"/>
      <c r="J31" s="460"/>
      <c r="K31" s="460"/>
      <c r="L31" s="460">
        <f>SUM(L22+F31)</f>
        <v>13283012.5</v>
      </c>
      <c r="M31" s="460">
        <f>SUM(M22+G31)</f>
        <v>3542136.66666668</v>
      </c>
      <c r="N31" s="460"/>
      <c r="O31" s="460"/>
      <c r="P31" s="460"/>
      <c r="Q31" s="460"/>
      <c r="R31" s="460">
        <f>SUM(R22+L31)</f>
        <v>14614097.5</v>
      </c>
      <c r="S31" s="460">
        <f>SUM(S22+M31)</f>
        <v>3897092.66666668</v>
      </c>
      <c r="W31" s="456">
        <f>V30-W30</f>
        <v>16307289</v>
      </c>
      <c r="X31" s="456">
        <f>W31*75%</f>
        <v>12230466.75</v>
      </c>
      <c r="AB31" s="427" t="s">
        <v>781</v>
      </c>
      <c r="AC31" s="456">
        <f>Z16+AA48</f>
        <v>38409717</v>
      </c>
    </row>
    <row r="32" s="427" customFormat="1" ht="12.75" customHeight="1" spans="1:37">
      <c r="A32" s="458"/>
      <c r="B32" s="459"/>
      <c r="C32" s="460"/>
      <c r="D32" s="460"/>
      <c r="E32" s="460"/>
      <c r="F32" s="460"/>
      <c r="G32" s="460"/>
      <c r="H32" s="460"/>
      <c r="I32" s="460"/>
      <c r="J32" s="460"/>
      <c r="K32" s="460"/>
      <c r="L32" s="460"/>
      <c r="M32" s="460"/>
      <c r="N32" s="460"/>
      <c r="O32" s="460"/>
      <c r="P32" s="460"/>
      <c r="Q32" s="460"/>
      <c r="R32" s="460"/>
      <c r="S32" s="460"/>
      <c r="T32" s="457"/>
      <c r="U32" s="457"/>
      <c r="V32" s="457"/>
      <c r="W32" s="457">
        <f>Q22+K22+E22</f>
        <v>16307289</v>
      </c>
      <c r="X32" s="457">
        <f>W32*20%</f>
        <v>3261457.80000001</v>
      </c>
      <c r="Y32" s="457"/>
      <c r="Z32" s="457"/>
      <c r="AA32" s="457"/>
      <c r="AB32" s="457" t="s">
        <v>782</v>
      </c>
      <c r="AC32" s="457">
        <f>Z17+AA49</f>
        <v>9514000</v>
      </c>
      <c r="AD32" s="457"/>
      <c r="AE32" s="457"/>
      <c r="AF32" s="457"/>
      <c r="AG32" s="457"/>
      <c r="AH32" s="457"/>
      <c r="AI32" s="457"/>
      <c r="AJ32" s="457"/>
      <c r="AK32" s="457"/>
    </row>
    <row r="33" s="427" customFormat="1" ht="12.75" customHeight="1" spans="1:37">
      <c r="A33" s="433" t="s">
        <v>414</v>
      </c>
      <c r="B33" s="434" t="s">
        <v>766</v>
      </c>
      <c r="C33" s="435" t="s">
        <v>783</v>
      </c>
      <c r="D33" s="436"/>
      <c r="E33" s="436"/>
      <c r="F33" s="436"/>
      <c r="G33" s="437"/>
      <c r="H33" s="436"/>
      <c r="I33" s="435" t="s">
        <v>784</v>
      </c>
      <c r="J33" s="436"/>
      <c r="K33" s="436"/>
      <c r="L33" s="436"/>
      <c r="M33" s="436"/>
      <c r="N33" s="436"/>
      <c r="O33" s="435" t="s">
        <v>785</v>
      </c>
      <c r="P33" s="436"/>
      <c r="Q33" s="436"/>
      <c r="R33" s="436"/>
      <c r="S33" s="436"/>
      <c r="T33" s="437"/>
      <c r="X33" s="456">
        <f>SUM(W31*5%)</f>
        <v>815364.450000002</v>
      </c>
      <c r="Y33" s="457"/>
      <c r="Z33" s="457"/>
      <c r="AA33" s="457"/>
      <c r="AB33" s="457" t="s">
        <v>786</v>
      </c>
      <c r="AC33" s="457">
        <f>AA50</f>
        <v>0</v>
      </c>
      <c r="AD33" s="457"/>
      <c r="AE33" s="457"/>
      <c r="AF33" s="457"/>
      <c r="AG33" s="457"/>
      <c r="AH33" s="457"/>
      <c r="AI33" s="457"/>
      <c r="AJ33" s="457"/>
      <c r="AK33" s="457"/>
    </row>
    <row r="34" s="427" customFormat="1" ht="12.75" customHeight="1" spans="1:37">
      <c r="A34" s="438"/>
      <c r="B34" s="439"/>
      <c r="C34" s="433" t="s">
        <v>127</v>
      </c>
      <c r="D34" s="434" t="s">
        <v>210</v>
      </c>
      <c r="E34" s="440" t="s">
        <v>768</v>
      </c>
      <c r="F34" s="440" t="s">
        <v>769</v>
      </c>
      <c r="G34" s="440"/>
      <c r="H34" s="440"/>
      <c r="I34" s="433" t="s">
        <v>127</v>
      </c>
      <c r="J34" s="434" t="s">
        <v>210</v>
      </c>
      <c r="K34" s="440" t="s">
        <v>768</v>
      </c>
      <c r="L34" s="462" t="s">
        <v>769</v>
      </c>
      <c r="M34" s="462"/>
      <c r="N34" s="463"/>
      <c r="O34" s="433" t="s">
        <v>127</v>
      </c>
      <c r="P34" s="434" t="s">
        <v>210</v>
      </c>
      <c r="Q34" s="440" t="s">
        <v>768</v>
      </c>
      <c r="R34" s="436" t="s">
        <v>769</v>
      </c>
      <c r="S34" s="436"/>
      <c r="T34" s="437"/>
      <c r="U34" s="457"/>
      <c r="V34" s="457"/>
      <c r="W34" s="457"/>
      <c r="X34" s="457"/>
      <c r="AC34" s="456" t="e">
        <f>SUM(AC29:AC33)</f>
        <v>#REF!</v>
      </c>
    </row>
    <row r="35" s="427" customFormat="1" ht="12.75" customHeight="1" spans="1:37">
      <c r="A35" s="441"/>
      <c r="B35" s="442"/>
      <c r="C35" s="441"/>
      <c r="D35" s="442"/>
      <c r="E35" s="440"/>
      <c r="F35" s="443" t="s">
        <v>770</v>
      </c>
      <c r="G35" s="442" t="s">
        <v>771</v>
      </c>
      <c r="H35" s="441" t="s">
        <v>772</v>
      </c>
      <c r="I35" s="441"/>
      <c r="J35" s="442"/>
      <c r="K35" s="440"/>
      <c r="L35" s="440" t="s">
        <v>770</v>
      </c>
      <c r="M35" s="440" t="s">
        <v>771</v>
      </c>
      <c r="N35" s="466" t="s">
        <v>772</v>
      </c>
      <c r="O35" s="441"/>
      <c r="P35" s="442"/>
      <c r="Q35" s="440"/>
      <c r="R35" s="437" t="s">
        <v>770</v>
      </c>
      <c r="S35" s="440" t="s">
        <v>771</v>
      </c>
      <c r="T35" s="440" t="s">
        <v>772</v>
      </c>
      <c r="U35" s="457"/>
      <c r="V35" s="457"/>
      <c r="W35" s="457" t="s">
        <v>787</v>
      </c>
      <c r="X35" s="457" t="s">
        <v>788</v>
      </c>
      <c r="Y35" s="427" t="s">
        <v>789</v>
      </c>
      <c r="AC35" s="456">
        <f>Z18+AA51</f>
        <v>51525384</v>
      </c>
    </row>
    <row r="36" s="427" customFormat="1" ht="12.75" customHeight="1" spans="1:37">
      <c r="A36" s="445">
        <v>1</v>
      </c>
      <c r="B36" s="446" t="s">
        <v>214</v>
      </c>
      <c r="C36" s="447">
        <f>SUM([57]REKAP!$C$36)</f>
        <v>3467450</v>
      </c>
      <c r="D36" s="448">
        <f>SUM([57]REKAP!$D$36)</f>
        <v>16990216.6666667</v>
      </c>
      <c r="E36" s="448">
        <f>SUM(C44-D36)</f>
        <v>536283.333333299</v>
      </c>
      <c r="F36" s="448">
        <f>SUM(E36*75%)</f>
        <v>402212.499999974</v>
      </c>
      <c r="G36" s="448">
        <f>SUM(E36*20%)</f>
        <v>107256.66666666</v>
      </c>
      <c r="H36" s="448">
        <f>SUM(E36*5%)</f>
        <v>26814.1666666649</v>
      </c>
      <c r="I36" s="447">
        <f>SUM('RUGI LABA '!C12)</f>
        <v>3144870</v>
      </c>
      <c r="J36" s="448">
        <f>SUM('RUGI LABA '!F26)</f>
        <v>18880216.6666667</v>
      </c>
      <c r="K36" s="448">
        <f>SUM(I44-J36)</f>
        <v>886574.333333328</v>
      </c>
      <c r="L36" s="448">
        <f>SUM(K36*75%)</f>
        <v>664930.749999996</v>
      </c>
      <c r="M36" s="448">
        <f>SUM(K36*20%)</f>
        <v>177314.866666666</v>
      </c>
      <c r="N36" s="448">
        <f>SUM(K36*5%)</f>
        <v>44328.7166666664</v>
      </c>
      <c r="O36" s="447"/>
      <c r="P36" s="448"/>
      <c r="Q36" s="448"/>
      <c r="R36" s="450"/>
      <c r="S36" s="448"/>
      <c r="T36" s="448"/>
      <c r="U36" s="457"/>
      <c r="V36" s="457">
        <f>C36+I36+O36</f>
        <v>6612320</v>
      </c>
      <c r="W36" s="457">
        <f>D36+J36+P36</f>
        <v>35870433.3333334</v>
      </c>
      <c r="X36" s="457">
        <f>F36+L36+R36</f>
        <v>1067143.24999997</v>
      </c>
      <c r="Y36" s="456">
        <f>G36+M36+S36</f>
        <v>284571.533333325</v>
      </c>
    </row>
    <row r="37" s="427" customFormat="1" ht="12.75" customHeight="1" spans="1:37">
      <c r="A37" s="445">
        <v>2</v>
      </c>
      <c r="B37" s="446" t="s">
        <v>212</v>
      </c>
      <c r="C37" s="447">
        <f>SUM([57]REKAP!$C$37)</f>
        <v>7310479</v>
      </c>
      <c r="D37" s="448"/>
      <c r="E37" s="448"/>
      <c r="F37" s="448"/>
      <c r="G37" s="448"/>
      <c r="H37" s="448"/>
      <c r="I37" s="447">
        <f>SUM('RUGI LABA '!C9)</f>
        <v>7191890</v>
      </c>
      <c r="J37" s="448"/>
      <c r="K37" s="448"/>
      <c r="L37" s="448"/>
      <c r="M37" s="448"/>
      <c r="N37" s="448"/>
      <c r="O37" s="447"/>
      <c r="P37" s="448"/>
      <c r="Q37" s="448"/>
      <c r="R37" s="450"/>
      <c r="S37" s="448"/>
      <c r="T37" s="448"/>
      <c r="U37" s="457"/>
      <c r="V37" s="457">
        <f>C37+I37+O37</f>
        <v>14502369</v>
      </c>
      <c r="W37" s="457"/>
      <c r="X37" s="457"/>
    </row>
    <row r="38" s="427" customFormat="1" ht="12.75" customHeight="1" spans="1:37">
      <c r="A38" s="445">
        <v>3</v>
      </c>
      <c r="B38" s="446" t="s">
        <v>773</v>
      </c>
      <c r="C38" s="447">
        <f>SUM([57]REKAP!$C$38)</f>
        <v>3540668</v>
      </c>
      <c r="D38" s="448"/>
      <c r="E38" s="448"/>
      <c r="F38" s="448"/>
      <c r="G38" s="448"/>
      <c r="H38" s="448"/>
      <c r="I38" s="447">
        <f>SUM('RUGI LABA '!C13)</f>
        <v>7987627</v>
      </c>
      <c r="J38" s="448"/>
      <c r="K38" s="448"/>
      <c r="L38" s="448"/>
      <c r="M38" s="448"/>
      <c r="N38" s="448"/>
      <c r="O38" s="447"/>
      <c r="P38" s="448"/>
      <c r="Q38" s="448"/>
      <c r="R38" s="450"/>
      <c r="S38" s="448"/>
      <c r="T38" s="448"/>
      <c r="U38" s="457"/>
      <c r="V38" s="457">
        <f>C38+I38+O38</f>
        <v>11528295</v>
      </c>
      <c r="W38" s="457"/>
      <c r="X38" s="457"/>
    </row>
    <row r="39" s="427" customFormat="1" ht="12.75" customHeight="1" spans="1:37">
      <c r="A39" s="445">
        <v>4</v>
      </c>
      <c r="B39" s="446" t="s">
        <v>774</v>
      </c>
      <c r="C39" s="447">
        <f>SUM([57]REKAP!$C$39)</f>
        <v>1910000</v>
      </c>
      <c r="D39" s="448"/>
      <c r="E39" s="448"/>
      <c r="F39" s="448"/>
      <c r="G39" s="448"/>
      <c r="H39" s="448"/>
      <c r="I39" s="447">
        <f>SUM('RUGI LABA '!C14)</f>
        <v>280000</v>
      </c>
      <c r="J39" s="448"/>
      <c r="K39" s="448"/>
      <c r="L39" s="448"/>
      <c r="M39" s="448"/>
      <c r="N39" s="448"/>
      <c r="O39" s="447"/>
      <c r="P39" s="448"/>
      <c r="Q39" s="448"/>
      <c r="R39" s="450"/>
      <c r="S39" s="448"/>
      <c r="T39" s="448"/>
      <c r="U39" s="457"/>
      <c r="V39" s="457">
        <f>C39+I39+O39</f>
        <v>2190000</v>
      </c>
      <c r="W39" s="457"/>
      <c r="X39" s="457"/>
    </row>
    <row r="40" s="427" customFormat="1" ht="12.75" customHeight="1" spans="1:37">
      <c r="A40" s="445">
        <v>5</v>
      </c>
      <c r="B40" s="446" t="s">
        <v>775</v>
      </c>
      <c r="C40" s="447">
        <f>SUM([57]REKAP!$C$40)</f>
        <v>800000</v>
      </c>
      <c r="D40" s="448"/>
      <c r="E40" s="448"/>
      <c r="F40" s="448"/>
      <c r="G40" s="448"/>
      <c r="H40" s="448"/>
      <c r="I40" s="447">
        <f>SUM('RUGI LABA '!C10)</f>
        <v>800000</v>
      </c>
      <c r="J40" s="448"/>
      <c r="K40" s="448"/>
      <c r="L40" s="448"/>
      <c r="M40" s="448"/>
      <c r="N40" s="448"/>
      <c r="O40" s="447"/>
      <c r="P40" s="448"/>
      <c r="Q40" s="448"/>
      <c r="R40" s="450"/>
      <c r="S40" s="448"/>
      <c r="T40" s="448"/>
      <c r="U40" s="457"/>
      <c r="V40" s="457">
        <f>C40+I40+O40</f>
        <v>1600000</v>
      </c>
      <c r="W40" s="457"/>
      <c r="X40" s="457"/>
    </row>
    <row r="41" s="427" customFormat="1" ht="12.75" customHeight="1" spans="1:37">
      <c r="A41" s="445">
        <v>6</v>
      </c>
      <c r="B41" s="446" t="s">
        <v>790</v>
      </c>
      <c r="C41" s="447"/>
      <c r="D41" s="448"/>
      <c r="E41" s="448"/>
      <c r="F41" s="448"/>
      <c r="G41" s="448"/>
      <c r="H41" s="448"/>
      <c r="I41" s="447"/>
      <c r="J41" s="448"/>
      <c r="K41" s="448"/>
      <c r="L41" s="448"/>
      <c r="M41" s="448"/>
      <c r="N41" s="448"/>
      <c r="O41" s="447"/>
      <c r="P41" s="448"/>
      <c r="Q41" s="448"/>
      <c r="R41" s="450"/>
      <c r="S41" s="448"/>
      <c r="T41" s="448"/>
      <c r="U41" s="457"/>
      <c r="V41" s="457">
        <f>SUM(V36:V40)</f>
        <v>36432984</v>
      </c>
      <c r="W41" s="457"/>
      <c r="X41" s="457"/>
    </row>
    <row r="42" s="427" customFormat="1" ht="12.75" customHeight="1" spans="1:37">
      <c r="A42" s="445">
        <v>7</v>
      </c>
      <c r="B42" s="446" t="s">
        <v>217</v>
      </c>
      <c r="C42" s="455"/>
      <c r="D42" s="448"/>
      <c r="E42" s="448"/>
      <c r="F42" s="448"/>
      <c r="G42" s="448"/>
      <c r="H42" s="448"/>
      <c r="I42" s="455"/>
      <c r="J42" s="448"/>
      <c r="K42" s="448"/>
      <c r="L42" s="448"/>
      <c r="M42" s="448"/>
      <c r="N42" s="448"/>
      <c r="O42" s="447"/>
      <c r="P42" s="455"/>
      <c r="Q42" s="455"/>
      <c r="R42" s="455"/>
      <c r="S42" s="455"/>
      <c r="T42" s="455"/>
      <c r="U42" s="457"/>
      <c r="V42" s="457"/>
      <c r="W42" s="457"/>
      <c r="X42" s="457"/>
      <c r="AA42" s="456"/>
      <c r="AB42" s="456"/>
      <c r="AC42" s="456"/>
      <c r="AD42" s="456"/>
    </row>
    <row r="43" s="427" customFormat="1" ht="12.75" customHeight="1" spans="1:37">
      <c r="A43" s="445">
        <v>8</v>
      </c>
      <c r="B43" s="446" t="s">
        <v>776</v>
      </c>
      <c r="C43" s="447">
        <f>SUM([57]REKAP!$C$43)</f>
        <v>497903</v>
      </c>
      <c r="D43" s="448"/>
      <c r="E43" s="448"/>
      <c r="F43" s="448"/>
      <c r="G43" s="448"/>
      <c r="H43" s="448"/>
      <c r="I43" s="447">
        <f>SUM('RUGI LABA '!C16)</f>
        <v>362404</v>
      </c>
      <c r="J43" s="448"/>
      <c r="K43" s="448"/>
      <c r="L43" s="448"/>
      <c r="M43" s="448"/>
      <c r="N43" s="448"/>
      <c r="O43" s="447"/>
      <c r="P43" s="455"/>
      <c r="Q43" s="455"/>
      <c r="R43" s="455"/>
      <c r="S43" s="455"/>
      <c r="T43" s="455"/>
      <c r="U43" s="457"/>
      <c r="V43" s="457"/>
      <c r="W43" s="457"/>
      <c r="X43" s="457"/>
      <c r="AA43" s="456"/>
      <c r="AB43" s="456"/>
      <c r="AC43" s="456"/>
      <c r="AD43" s="456"/>
    </row>
    <row r="44" s="427" customFormat="1" ht="12.75" customHeight="1" spans="1:37">
      <c r="A44" s="440"/>
      <c r="B44" s="454" t="s">
        <v>111</v>
      </c>
      <c r="C44" s="455">
        <f>SUM(C36:C43)</f>
        <v>17526500</v>
      </c>
      <c r="D44" s="455"/>
      <c r="E44" s="455"/>
      <c r="F44" s="455"/>
      <c r="G44" s="455"/>
      <c r="H44" s="455"/>
      <c r="I44" s="455">
        <f>SUM(I36:I43)</f>
        <v>19766791</v>
      </c>
      <c r="J44" s="455"/>
      <c r="K44" s="455"/>
      <c r="L44" s="455"/>
      <c r="M44" s="455"/>
      <c r="N44" s="455"/>
      <c r="O44" s="455">
        <f>SUM(O36:O42)</f>
        <v>0</v>
      </c>
      <c r="P44" s="455"/>
      <c r="Q44" s="455"/>
      <c r="R44" s="455"/>
      <c r="S44" s="455"/>
      <c r="T44" s="455"/>
      <c r="U44" s="457"/>
      <c r="V44" s="457">
        <f>C44+I44+O44</f>
        <v>37293291</v>
      </c>
      <c r="W44" s="457"/>
      <c r="X44" s="457"/>
      <c r="AA44" s="456">
        <f>V36+V50</f>
        <v>6612320</v>
      </c>
      <c r="AB44" s="456">
        <f>W36+W50</f>
        <v>35870433.3333334</v>
      </c>
      <c r="AC44" s="456">
        <f>X36+X50</f>
        <v>1067143.24999997</v>
      </c>
      <c r="AD44" s="456">
        <f>Y36+Y50</f>
        <v>284571.533333325</v>
      </c>
    </row>
    <row r="45" s="427" customFormat="1" ht="12.75" customHeight="1" spans="1:37">
      <c r="A45" s="467"/>
      <c r="B45" s="468"/>
      <c r="C45" s="460"/>
      <c r="D45" s="460"/>
      <c r="E45" s="460"/>
      <c r="F45" s="460">
        <f>SUM(F36+R31)</f>
        <v>15016310</v>
      </c>
      <c r="G45" s="460">
        <f>SUM(G36+S31)</f>
        <v>4004349.33333334</v>
      </c>
      <c r="H45" s="460"/>
      <c r="I45" s="460"/>
      <c r="J45" s="460"/>
      <c r="K45" s="460"/>
      <c r="L45" s="460">
        <f>SUM(L36+F45)</f>
        <v>15681240.75</v>
      </c>
      <c r="M45" s="460">
        <f>SUM(M36+G45)</f>
        <v>4181664.2</v>
      </c>
      <c r="N45" s="460"/>
      <c r="O45" s="460"/>
      <c r="P45" s="460"/>
      <c r="Q45" s="460"/>
      <c r="R45" s="460">
        <f>SUM(R36+L45)</f>
        <v>15681240.75</v>
      </c>
      <c r="S45" s="460">
        <f>SUM(S36+M45)</f>
        <v>4181664.2</v>
      </c>
      <c r="T45" s="457"/>
      <c r="U45" s="457"/>
      <c r="V45" s="457"/>
      <c r="W45" s="457"/>
      <c r="X45" s="457"/>
      <c r="AA45" s="456"/>
      <c r="AB45" s="456"/>
      <c r="AC45" s="456"/>
      <c r="AD45" s="456"/>
    </row>
    <row r="46" s="427" customFormat="1" ht="12.75" customHeight="1" spans="1:37">
      <c r="A46" s="459"/>
      <c r="B46" s="459"/>
      <c r="C46" s="459"/>
      <c r="D46" s="459"/>
      <c r="E46" s="459"/>
      <c r="F46" s="460"/>
      <c r="G46" s="460"/>
      <c r="H46" s="460"/>
      <c r="I46" s="460"/>
      <c r="J46" s="460"/>
      <c r="K46" s="460"/>
      <c r="L46" s="460"/>
      <c r="M46" s="460"/>
      <c r="N46" s="460"/>
      <c r="O46" s="460"/>
      <c r="P46" s="460"/>
      <c r="Q46" s="460"/>
      <c r="R46" s="460"/>
      <c r="S46" s="460"/>
      <c r="T46" s="457"/>
      <c r="U46" s="457"/>
      <c r="V46" s="457"/>
      <c r="W46" s="457"/>
      <c r="X46" s="457"/>
      <c r="AA46" s="456">
        <f>V37+V51</f>
        <v>14502369</v>
      </c>
    </row>
    <row r="47" s="428" customFormat="1" ht="12.75" customHeight="1" spans="1:37">
      <c r="A47" s="433" t="s">
        <v>414</v>
      </c>
      <c r="B47" s="434" t="s">
        <v>766</v>
      </c>
      <c r="C47" s="435" t="s">
        <v>791</v>
      </c>
      <c r="D47" s="436"/>
      <c r="E47" s="436"/>
      <c r="F47" s="436"/>
      <c r="G47" s="437"/>
      <c r="H47" s="436"/>
      <c r="I47" s="435" t="s">
        <v>792</v>
      </c>
      <c r="J47" s="436"/>
      <c r="K47" s="436"/>
      <c r="L47" s="436"/>
      <c r="M47" s="437"/>
      <c r="N47" s="436"/>
      <c r="O47" s="435" t="s">
        <v>793</v>
      </c>
      <c r="P47" s="436"/>
      <c r="Q47" s="436"/>
      <c r="R47" s="436"/>
      <c r="S47" s="437"/>
      <c r="T47" s="469"/>
      <c r="U47" s="469"/>
      <c r="V47" s="469"/>
      <c r="W47" s="469"/>
      <c r="X47" s="469"/>
      <c r="Y47" s="469"/>
      <c r="Z47" s="469"/>
      <c r="AA47" s="469">
        <f>V38+V52</f>
        <v>11528295</v>
      </c>
      <c r="AB47" s="469"/>
      <c r="AC47" s="469"/>
      <c r="AD47" s="469"/>
      <c r="AE47" s="469"/>
      <c r="AF47" s="469"/>
      <c r="AG47" s="469"/>
      <c r="AH47" s="469"/>
      <c r="AI47" s="469"/>
      <c r="AJ47" s="469"/>
      <c r="AK47" s="469"/>
    </row>
    <row r="48" s="425" customFormat="1" ht="12.75" customHeight="1" spans="1:37">
      <c r="A48" s="438"/>
      <c r="B48" s="439"/>
      <c r="C48" s="433" t="s">
        <v>127</v>
      </c>
      <c r="D48" s="434" t="s">
        <v>210</v>
      </c>
      <c r="E48" s="440" t="s">
        <v>768</v>
      </c>
      <c r="F48" s="462" t="s">
        <v>769</v>
      </c>
      <c r="G48" s="462"/>
      <c r="H48" s="463"/>
      <c r="I48" s="433" t="s">
        <v>127</v>
      </c>
      <c r="J48" s="434" t="s">
        <v>210</v>
      </c>
      <c r="K48" s="440" t="s">
        <v>768</v>
      </c>
      <c r="L48" s="462" t="s">
        <v>769</v>
      </c>
      <c r="M48" s="462"/>
      <c r="N48" s="463"/>
      <c r="O48" s="433" t="s">
        <v>127</v>
      </c>
      <c r="P48" s="434" t="s">
        <v>210</v>
      </c>
      <c r="Q48" s="470" t="s">
        <v>768</v>
      </c>
      <c r="R48" s="436" t="s">
        <v>769</v>
      </c>
      <c r="S48" s="437"/>
      <c r="AA48" s="471">
        <f>V39+V53</f>
        <v>12482400</v>
      </c>
    </row>
    <row r="49" s="425" customFormat="1" ht="12.75" customHeight="1" spans="1:37">
      <c r="A49" s="441"/>
      <c r="B49" s="442"/>
      <c r="C49" s="441"/>
      <c r="D49" s="442"/>
      <c r="E49" s="440"/>
      <c r="F49" s="440" t="s">
        <v>770</v>
      </c>
      <c r="G49" s="440" t="s">
        <v>771</v>
      </c>
      <c r="H49" s="466" t="s">
        <v>772</v>
      </c>
      <c r="I49" s="441"/>
      <c r="J49" s="442"/>
      <c r="K49" s="440"/>
      <c r="L49" s="443" t="s">
        <v>770</v>
      </c>
      <c r="M49" s="442" t="s">
        <v>771</v>
      </c>
      <c r="N49" s="441" t="s">
        <v>772</v>
      </c>
      <c r="O49" s="441"/>
      <c r="P49" s="442"/>
      <c r="Q49" s="472"/>
      <c r="R49" s="437" t="s">
        <v>12</v>
      </c>
      <c r="S49" s="440" t="s">
        <v>794</v>
      </c>
      <c r="W49" s="425" t="s">
        <v>787</v>
      </c>
      <c r="X49" s="425" t="s">
        <v>795</v>
      </c>
      <c r="Y49" s="425" t="s">
        <v>789</v>
      </c>
      <c r="AA49" s="471">
        <f>V40+V54</f>
        <v>1600000</v>
      </c>
    </row>
    <row r="50" s="425" customFormat="1" ht="12.75" customHeight="1" spans="1:37">
      <c r="A50" s="445">
        <v>1</v>
      </c>
      <c r="B50" s="446" t="s">
        <v>214</v>
      </c>
      <c r="C50" s="447"/>
      <c r="D50" s="448"/>
      <c r="E50" s="448"/>
      <c r="F50" s="448"/>
      <c r="G50" s="448"/>
      <c r="H50" s="448"/>
      <c r="I50" s="447"/>
      <c r="J50" s="448"/>
      <c r="K50" s="448"/>
      <c r="L50" s="448"/>
      <c r="M50" s="448"/>
      <c r="N50" s="448"/>
      <c r="O50" s="447"/>
      <c r="P50" s="448"/>
      <c r="Q50" s="448"/>
      <c r="R50" s="450"/>
      <c r="S50" s="448"/>
      <c r="T50" s="471"/>
      <c r="U50" s="471"/>
      <c r="V50" s="471">
        <f>C50+I50</f>
        <v>0</v>
      </c>
      <c r="W50" s="471">
        <f>D50+J50</f>
        <v>0</v>
      </c>
      <c r="X50" s="471">
        <f>F50+L50</f>
        <v>0</v>
      </c>
      <c r="Y50" s="471">
        <f>G50+M50</f>
        <v>0</v>
      </c>
      <c r="AA50" s="471">
        <f>V55</f>
        <v>0</v>
      </c>
    </row>
    <row r="51" s="425" customFormat="1" ht="12.75" customHeight="1" spans="1:37">
      <c r="A51" s="445">
        <v>2</v>
      </c>
      <c r="B51" s="446" t="s">
        <v>212</v>
      </c>
      <c r="C51" s="447"/>
      <c r="D51" s="448"/>
      <c r="E51" s="448"/>
      <c r="F51" s="448"/>
      <c r="G51" s="448"/>
      <c r="H51" s="448"/>
      <c r="I51" s="447"/>
      <c r="J51" s="448"/>
      <c r="K51" s="448"/>
      <c r="L51" s="448"/>
      <c r="M51" s="448"/>
      <c r="N51" s="448"/>
      <c r="O51" s="447"/>
      <c r="P51" s="448"/>
      <c r="Q51" s="448"/>
      <c r="R51" s="450"/>
      <c r="S51" s="448"/>
      <c r="T51" s="471"/>
      <c r="U51" s="471"/>
      <c r="V51" s="471">
        <f>C51+I51</f>
        <v>0</v>
      </c>
      <c r="AA51" s="471">
        <f>SUM(AA44:AA50)</f>
        <v>46725384</v>
      </c>
    </row>
    <row r="52" s="426" customFormat="1" ht="12.75" customHeight="1" spans="1:37">
      <c r="A52" s="445">
        <v>3</v>
      </c>
      <c r="B52" s="446" t="s">
        <v>773</v>
      </c>
      <c r="C52" s="447"/>
      <c r="D52" s="448"/>
      <c r="E52" s="448"/>
      <c r="F52" s="448"/>
      <c r="G52" s="448"/>
      <c r="H52" s="448"/>
      <c r="I52" s="447"/>
      <c r="J52" s="448"/>
      <c r="K52" s="448"/>
      <c r="L52" s="448"/>
      <c r="M52" s="448"/>
      <c r="N52" s="448"/>
      <c r="O52" s="447"/>
      <c r="P52" s="448"/>
      <c r="Q52" s="448"/>
      <c r="R52" s="450"/>
      <c r="S52" s="448"/>
      <c r="T52" s="451"/>
      <c r="U52" s="451"/>
      <c r="V52" s="451">
        <f>C52+I52</f>
        <v>0</v>
      </c>
      <c r="AA52" s="451" t="e">
        <f>V44+#REF!</f>
        <v>#REF!</v>
      </c>
    </row>
    <row r="53" s="426" customFormat="1" ht="12.75" customHeight="1" spans="1:37">
      <c r="A53" s="445">
        <v>4</v>
      </c>
      <c r="B53" s="446" t="s">
        <v>774</v>
      </c>
      <c r="C53" s="447"/>
      <c r="D53" s="448"/>
      <c r="E53" s="448"/>
      <c r="F53" s="448"/>
      <c r="G53" s="448"/>
      <c r="H53" s="448"/>
      <c r="I53" s="447"/>
      <c r="J53" s="448"/>
      <c r="K53" s="448"/>
      <c r="L53" s="448"/>
      <c r="M53" s="448"/>
      <c r="N53" s="448"/>
      <c r="O53" s="447"/>
      <c r="P53" s="448"/>
      <c r="Q53" s="448"/>
      <c r="R53" s="450"/>
      <c r="S53" s="448"/>
      <c r="T53" s="451"/>
      <c r="U53" s="451"/>
      <c r="V53" s="451">
        <v>10292400</v>
      </c>
    </row>
    <row r="54" s="426" customFormat="1" ht="12.75" customHeight="1" spans="1:37">
      <c r="A54" s="445">
        <v>5</v>
      </c>
      <c r="B54" s="446" t="s">
        <v>775</v>
      </c>
      <c r="C54" s="447"/>
      <c r="D54" s="448"/>
      <c r="E54" s="448"/>
      <c r="F54" s="448"/>
      <c r="G54" s="448"/>
      <c r="H54" s="448"/>
      <c r="I54" s="447"/>
      <c r="J54" s="448"/>
      <c r="K54" s="448"/>
      <c r="L54" s="448"/>
      <c r="M54" s="448"/>
      <c r="N54" s="448"/>
      <c r="O54" s="447"/>
      <c r="P54" s="448"/>
      <c r="Q54" s="448"/>
      <c r="R54" s="450"/>
      <c r="S54" s="448"/>
      <c r="T54" s="451"/>
      <c r="U54" s="451"/>
      <c r="V54" s="451">
        <f>C54+I54</f>
        <v>0</v>
      </c>
    </row>
    <row r="55" s="426" customFormat="1" ht="12.75" customHeight="1" spans="1:37">
      <c r="A55" s="445">
        <v>6</v>
      </c>
      <c r="B55" s="446" t="s">
        <v>790</v>
      </c>
      <c r="C55" s="447"/>
      <c r="D55" s="448"/>
      <c r="E55" s="448"/>
      <c r="F55" s="448"/>
      <c r="G55" s="448"/>
      <c r="H55" s="448"/>
      <c r="I55" s="447"/>
      <c r="J55" s="448"/>
      <c r="K55" s="448"/>
      <c r="L55" s="448"/>
      <c r="M55" s="448"/>
      <c r="N55" s="448"/>
      <c r="O55" s="447"/>
      <c r="P55" s="448"/>
      <c r="Q55" s="448"/>
      <c r="R55" s="450"/>
      <c r="S55" s="448"/>
      <c r="T55" s="451"/>
      <c r="U55" s="451"/>
      <c r="V55" s="451">
        <f>C56+I56</f>
        <v>0</v>
      </c>
    </row>
    <row r="56" s="426" customFormat="1" ht="12.75" customHeight="1" spans="1:37">
      <c r="A56" s="445">
        <v>7</v>
      </c>
      <c r="B56" s="446" t="s">
        <v>217</v>
      </c>
      <c r="C56" s="447"/>
      <c r="D56" s="448"/>
      <c r="E56" s="448"/>
      <c r="F56" s="448"/>
      <c r="G56" s="448"/>
      <c r="H56" s="448"/>
      <c r="I56" s="447"/>
      <c r="J56" s="448"/>
      <c r="K56" s="448"/>
      <c r="L56" s="448"/>
      <c r="M56" s="448"/>
      <c r="N56" s="448"/>
      <c r="O56" s="447"/>
      <c r="P56" s="448"/>
      <c r="Q56" s="448"/>
      <c r="R56" s="450"/>
      <c r="S56" s="448"/>
    </row>
    <row r="57" s="426" customFormat="1" ht="12.75" customHeight="1" spans="1:37">
      <c r="A57" s="445">
        <v>8</v>
      </c>
      <c r="B57" s="446" t="s">
        <v>219</v>
      </c>
      <c r="C57" s="447"/>
      <c r="D57" s="448"/>
      <c r="E57" s="448"/>
      <c r="F57" s="448"/>
      <c r="G57" s="448"/>
      <c r="H57" s="448"/>
      <c r="I57" s="447"/>
      <c r="J57" s="448"/>
      <c r="K57" s="448"/>
      <c r="L57" s="448"/>
      <c r="M57" s="448"/>
      <c r="N57" s="448"/>
      <c r="O57" s="447"/>
      <c r="P57" s="448"/>
      <c r="Q57" s="448"/>
      <c r="R57" s="450"/>
      <c r="S57" s="448"/>
    </row>
    <row r="58" s="426" customFormat="1" ht="12.75" customHeight="1" spans="1:37">
      <c r="A58" s="440"/>
      <c r="B58" s="454" t="s">
        <v>111</v>
      </c>
      <c r="C58" s="455">
        <f>SUM(C50:C56)</f>
        <v>0</v>
      </c>
      <c r="D58" s="455"/>
      <c r="E58" s="455"/>
      <c r="F58" s="455"/>
      <c r="G58" s="455"/>
      <c r="H58" s="455"/>
      <c r="I58" s="455">
        <f>SUM(I50:I56)</f>
        <v>0</v>
      </c>
      <c r="J58" s="455"/>
      <c r="K58" s="455"/>
      <c r="L58" s="455"/>
      <c r="M58" s="455"/>
      <c r="N58" s="455"/>
      <c r="O58" s="455">
        <f>SUM(O50:O56)</f>
        <v>0</v>
      </c>
      <c r="P58" s="455"/>
      <c r="Q58" s="455"/>
      <c r="R58" s="455"/>
      <c r="S58" s="455"/>
    </row>
    <row r="59" s="427" customFormat="1" ht="12.75" customHeight="1" spans="1:37">
      <c r="E59" s="456"/>
      <c r="F59" s="456">
        <f>SUM(F50+R45)</f>
        <v>15681240.75</v>
      </c>
      <c r="G59" s="456">
        <f>SUM(G50+S45)</f>
        <v>4181664.2</v>
      </c>
      <c r="H59" s="459"/>
      <c r="I59" s="459"/>
      <c r="J59" s="459"/>
      <c r="K59" s="459"/>
      <c r="L59" s="473">
        <f>SUM(L50+F59)</f>
        <v>15681240.75</v>
      </c>
      <c r="M59" s="473">
        <f>SUM(M50+G59)</f>
        <v>4181664.2</v>
      </c>
      <c r="N59" s="459"/>
      <c r="O59" s="459"/>
      <c r="P59" s="459"/>
      <c r="Q59" s="459"/>
      <c r="R59" s="473">
        <f>SUM(R50+L59)</f>
        <v>15681240.75</v>
      </c>
      <c r="S59" s="473">
        <f>SUM(S50+M59)</f>
        <v>4181664.2</v>
      </c>
    </row>
    <row r="60" s="426" customFormat="1" ht="12.75" customHeight="1"/>
    <row r="61" s="427" customFormat="1" ht="12.75" customHeight="1"/>
    <row r="62" s="427" customFormat="1" ht="12.75" customHeight="1" spans="1:37">
      <c r="A62" s="425"/>
      <c r="C62" s="457"/>
      <c r="D62" s="457"/>
      <c r="E62" s="457"/>
      <c r="F62" s="457"/>
      <c r="G62" s="457"/>
      <c r="H62" s="457"/>
      <c r="I62" s="457"/>
      <c r="J62" s="457"/>
      <c r="K62" s="457"/>
      <c r="L62" s="457"/>
      <c r="M62" s="457"/>
      <c r="N62" s="457"/>
      <c r="O62" s="457"/>
      <c r="P62" s="457"/>
      <c r="Q62" s="457"/>
      <c r="R62" s="457"/>
      <c r="S62" s="457"/>
      <c r="T62" s="457"/>
      <c r="U62" s="457"/>
      <c r="V62" s="457"/>
      <c r="W62" s="457"/>
      <c r="X62" s="457"/>
      <c r="Y62" s="457"/>
      <c r="Z62" s="457"/>
      <c r="AA62" s="457"/>
      <c r="AB62" s="457"/>
      <c r="AC62" s="457"/>
      <c r="AD62" s="457"/>
      <c r="AE62" s="457"/>
      <c r="AF62" s="457"/>
      <c r="AG62" s="457"/>
      <c r="AH62" s="457"/>
      <c r="AI62" s="457"/>
      <c r="AJ62" s="457"/>
      <c r="AK62" s="457"/>
    </row>
    <row r="63" s="428" customFormat="1" ht="12.75" customHeight="1" spans="1:37">
      <c r="A63" s="474"/>
      <c r="C63" s="469"/>
      <c r="D63" s="469"/>
      <c r="E63" s="469"/>
      <c r="F63" s="469"/>
      <c r="G63" s="469"/>
      <c r="H63" s="469"/>
      <c r="I63" s="469"/>
      <c r="J63" s="469"/>
      <c r="K63" s="469"/>
      <c r="L63" s="469"/>
      <c r="M63" s="469"/>
      <c r="N63" s="469"/>
      <c r="O63" s="469"/>
      <c r="P63" s="469"/>
      <c r="Q63" s="469"/>
      <c r="R63" s="469"/>
      <c r="S63" s="469"/>
      <c r="T63" s="469"/>
      <c r="U63" s="469"/>
      <c r="V63" s="469"/>
      <c r="W63" s="469"/>
      <c r="X63" s="469"/>
      <c r="Y63" s="469"/>
      <c r="Z63" s="469"/>
      <c r="AA63" s="469"/>
      <c r="AB63" s="469"/>
      <c r="AC63" s="469"/>
      <c r="AD63" s="469"/>
      <c r="AE63" s="469"/>
      <c r="AF63" s="469"/>
      <c r="AG63" s="469"/>
      <c r="AH63" s="469"/>
      <c r="AI63" s="469"/>
      <c r="AJ63" s="469"/>
      <c r="AK63" s="469"/>
    </row>
    <row r="64" s="425" customFormat="1" ht="12.75" customHeight="1" spans="1:37">
      <c r="A64" s="469"/>
      <c r="B64" s="469"/>
      <c r="C64" s="469"/>
      <c r="D64" s="469"/>
      <c r="E64" s="469"/>
      <c r="F64" s="469"/>
      <c r="G64" s="469"/>
      <c r="H64" s="469"/>
      <c r="I64" s="469"/>
      <c r="J64" s="469"/>
      <c r="K64" s="469"/>
      <c r="L64" s="469"/>
      <c r="M64" s="469"/>
      <c r="N64" s="469"/>
      <c r="O64" s="469"/>
      <c r="P64" s="469"/>
      <c r="Q64" s="469"/>
      <c r="R64" s="469"/>
      <c r="S64" s="428"/>
    </row>
    <row r="65" s="425" customFormat="1" ht="12.75" customHeight="1" spans="1:19">
      <c r="A65" s="433" t="s">
        <v>414</v>
      </c>
      <c r="B65" s="434" t="s">
        <v>766</v>
      </c>
      <c r="C65" s="434" t="s">
        <v>111</v>
      </c>
      <c r="D65" s="462"/>
      <c r="E65" s="462"/>
      <c r="F65" s="436"/>
      <c r="G65" s="463"/>
      <c r="H65" s="434"/>
      <c r="I65" s="469"/>
      <c r="J65" s="469"/>
      <c r="K65" s="469"/>
      <c r="L65" s="469"/>
      <c r="M65" s="469"/>
      <c r="N65" s="469"/>
      <c r="O65" s="469"/>
      <c r="P65" s="469"/>
      <c r="Q65" s="469"/>
      <c r="R65" s="469"/>
      <c r="S65" s="428"/>
    </row>
    <row r="66" s="425" customFormat="1" ht="12.75" customHeight="1" spans="1:19">
      <c r="A66" s="438"/>
      <c r="B66" s="439"/>
      <c r="C66" s="433" t="s">
        <v>127</v>
      </c>
      <c r="D66" s="434" t="s">
        <v>210</v>
      </c>
      <c r="E66" s="440" t="s">
        <v>768</v>
      </c>
      <c r="F66" s="475" t="s">
        <v>769</v>
      </c>
      <c r="G66" s="436"/>
      <c r="H66" s="437"/>
      <c r="I66" s="468"/>
      <c r="J66" s="469">
        <v>11000000</v>
      </c>
      <c r="K66" s="469">
        <v>8000000</v>
      </c>
      <c r="L66" s="469"/>
      <c r="M66" s="469"/>
      <c r="N66" s="469"/>
      <c r="O66" s="469"/>
      <c r="P66" s="469"/>
      <c r="Q66" s="469"/>
      <c r="R66" s="469"/>
      <c r="S66" s="428"/>
    </row>
    <row r="67" s="426" customFormat="1" ht="12.75" customHeight="1" spans="1:19">
      <c r="A67" s="441"/>
      <c r="B67" s="442"/>
      <c r="C67" s="441"/>
      <c r="D67" s="442"/>
      <c r="E67" s="440"/>
      <c r="F67" s="437" t="s">
        <v>770</v>
      </c>
      <c r="G67" s="440" t="s">
        <v>771</v>
      </c>
      <c r="H67" s="437" t="s">
        <v>796</v>
      </c>
      <c r="I67" s="467"/>
      <c r="J67" s="476">
        <v>0.8</v>
      </c>
      <c r="K67" s="476">
        <v>0.2</v>
      </c>
      <c r="L67" s="469"/>
      <c r="M67" s="469"/>
      <c r="N67" s="469"/>
      <c r="O67" s="469"/>
      <c r="P67" s="469"/>
      <c r="Q67" s="469"/>
      <c r="R67" s="469"/>
      <c r="S67" s="428"/>
    </row>
    <row r="68" s="426" customFormat="1" ht="12.75" customHeight="1" spans="1:19">
      <c r="A68" s="445">
        <v>1</v>
      </c>
      <c r="B68" s="446" t="s">
        <v>214</v>
      </c>
      <c r="C68" s="447">
        <f>C8+I8+O8+C22+I22+O22+C36+I36+O36+C50+I50+O50</f>
        <v>28521806</v>
      </c>
      <c r="D68" s="448">
        <f>SUM('RL JAN-DES'!E28)</f>
        <v>137159649.666667</v>
      </c>
      <c r="E68" s="448">
        <f>SUM(C76-D68)</f>
        <v>20066904.3333333</v>
      </c>
      <c r="F68" s="448">
        <f>E68*75%</f>
        <v>15050178.25</v>
      </c>
      <c r="G68" s="448">
        <f>E68*20%</f>
        <v>4013380.86666666</v>
      </c>
      <c r="H68" s="448">
        <f>E68*5%</f>
        <v>1003345.21666667</v>
      </c>
      <c r="I68" s="477"/>
      <c r="J68" s="469">
        <f>SUM(J66*J67)</f>
        <v>8800000</v>
      </c>
      <c r="K68" s="469">
        <f>SUM(K66*K67)</f>
        <v>1600000</v>
      </c>
      <c r="L68" s="469"/>
      <c r="M68" s="469"/>
      <c r="N68" s="469"/>
      <c r="O68" s="469"/>
      <c r="P68" s="469"/>
      <c r="Q68" s="469"/>
      <c r="R68" s="469"/>
      <c r="S68" s="428"/>
    </row>
    <row r="69" s="426" customFormat="1" ht="12.75" customHeight="1" spans="1:19">
      <c r="A69" s="445">
        <v>2</v>
      </c>
      <c r="B69" s="446" t="s">
        <v>212</v>
      </c>
      <c r="C69" s="447">
        <f>C9+I9+O9+C23+I23+O23+C37+I37+O37+C51+I51+O51</f>
        <v>59950721</v>
      </c>
      <c r="D69" s="448"/>
      <c r="E69" s="448"/>
      <c r="F69" s="448"/>
      <c r="G69" s="448"/>
      <c r="H69" s="448"/>
      <c r="I69" s="478"/>
      <c r="J69" s="469">
        <f>SUM(F68+J68)</f>
        <v>23850178.25</v>
      </c>
      <c r="K69" s="469"/>
      <c r="L69" s="469"/>
      <c r="M69" s="469"/>
      <c r="N69" s="469"/>
      <c r="O69" s="469"/>
      <c r="P69" s="469"/>
      <c r="Q69" s="469"/>
      <c r="R69" s="469"/>
      <c r="S69" s="428"/>
    </row>
    <row r="70" s="426" customFormat="1" ht="12.75" customHeight="1" spans="1:19">
      <c r="A70" s="445">
        <v>3</v>
      </c>
      <c r="B70" s="446" t="s">
        <v>773</v>
      </c>
      <c r="C70" s="447">
        <f>C10+I10+O10+C24+I24+O24+C38+I38+O38+C52+I52+O52</f>
        <v>37455612</v>
      </c>
      <c r="D70" s="448"/>
      <c r="E70" s="448"/>
      <c r="F70" s="448"/>
      <c r="G70" s="448"/>
      <c r="H70" s="448"/>
      <c r="I70" s="479"/>
      <c r="J70" s="469"/>
      <c r="K70" s="469"/>
      <c r="L70" s="469"/>
      <c r="M70" s="469"/>
      <c r="N70" s="469"/>
      <c r="O70" s="469"/>
      <c r="P70" s="469"/>
      <c r="Q70" s="469"/>
      <c r="R70" s="469"/>
      <c r="S70" s="428"/>
    </row>
    <row r="71" s="426" customFormat="1" ht="12.75" customHeight="1" spans="1:19">
      <c r="A71" s="445">
        <v>4</v>
      </c>
      <c r="B71" s="446" t="s">
        <v>774</v>
      </c>
      <c r="C71" s="447">
        <f>C11+I11+O11+C25+I25+O25+C39+I39+O39+C53+I53+O53</f>
        <v>10104000</v>
      </c>
      <c r="D71" s="448"/>
      <c r="E71" s="448"/>
      <c r="F71" s="448"/>
      <c r="G71" s="448"/>
      <c r="H71" s="448"/>
      <c r="I71" s="480"/>
      <c r="J71" s="481"/>
      <c r="K71" s="469"/>
      <c r="L71" s="469"/>
      <c r="M71" s="469"/>
      <c r="N71" s="469"/>
      <c r="O71" s="469"/>
      <c r="P71" s="469"/>
      <c r="Q71" s="469"/>
      <c r="R71" s="469"/>
      <c r="S71" s="428"/>
    </row>
    <row r="72" s="427" customFormat="1" ht="12.75" customHeight="1" spans="1:19">
      <c r="A72" s="445">
        <v>5</v>
      </c>
      <c r="B72" s="446" t="s">
        <v>775</v>
      </c>
      <c r="C72" s="447">
        <f>C12+I12+O12+C26+I26+O26+C40+I40+O40+C54+I54+O54</f>
        <v>6400000</v>
      </c>
      <c r="D72" s="448"/>
      <c r="E72" s="448"/>
      <c r="F72" s="448"/>
      <c r="G72" s="448"/>
      <c r="H72" s="448"/>
      <c r="I72" s="482"/>
      <c r="J72" s="481"/>
      <c r="K72" s="469"/>
      <c r="L72" s="469"/>
      <c r="M72" s="469"/>
      <c r="N72" s="469"/>
      <c r="O72" s="469"/>
      <c r="P72" s="469"/>
      <c r="Q72" s="469"/>
      <c r="R72" s="469"/>
      <c r="S72" s="428"/>
    </row>
    <row r="73" s="428" customFormat="1" ht="13" spans="1:19">
      <c r="A73" s="445">
        <v>6</v>
      </c>
      <c r="B73" s="446" t="s">
        <v>144</v>
      </c>
      <c r="C73" s="447">
        <f>C41+I41+O41+C55+I55+O55+O27+I27</f>
        <v>11702600</v>
      </c>
      <c r="D73" s="448"/>
      <c r="E73" s="448"/>
      <c r="F73" s="448"/>
      <c r="G73" s="448"/>
      <c r="H73" s="483"/>
      <c r="I73" s="477"/>
    </row>
    <row r="74" s="428" customFormat="1" ht="13" spans="1:19">
      <c r="A74" s="445">
        <v>7</v>
      </c>
      <c r="B74" s="446" t="s">
        <v>217</v>
      </c>
      <c r="C74" s="447">
        <f>SUM(C14+I14+O14)</f>
        <v>225000</v>
      </c>
      <c r="D74" s="448"/>
      <c r="E74" s="448"/>
      <c r="F74" s="448"/>
      <c r="G74" s="448"/>
      <c r="H74" s="483"/>
      <c r="I74" s="477"/>
    </row>
    <row r="75" s="428" customFormat="1" ht="13" spans="1:19">
      <c r="A75" s="445">
        <v>8</v>
      </c>
      <c r="B75" s="446" t="s">
        <v>219</v>
      </c>
      <c r="C75" s="447">
        <f>SUM(C15+I15+O15+C29+I29+O29+C43+I43)</f>
        <v>2866815</v>
      </c>
      <c r="D75" s="448"/>
      <c r="E75" s="448"/>
      <c r="F75" s="448"/>
      <c r="G75" s="448"/>
      <c r="H75" s="483"/>
      <c r="I75" s="477"/>
    </row>
    <row r="76" s="428" customFormat="1" ht="13" spans="1:19">
      <c r="A76" s="440"/>
      <c r="B76" s="454" t="s">
        <v>111</v>
      </c>
      <c r="C76" s="455">
        <f>SUM(C68:C75)</f>
        <v>157226554</v>
      </c>
      <c r="D76" s="455"/>
      <c r="E76" s="455"/>
      <c r="F76" s="455"/>
      <c r="G76" s="455"/>
      <c r="H76" s="455"/>
      <c r="I76" s="484"/>
    </row>
    <row r="77" s="428" customFormat="1" ht="12" spans="1:19">
      <c r="A77" s="474"/>
    </row>
    <row r="78" spans="1:19">
      <c r="E78" s="485">
        <f>C76-D76</f>
        <v>157226554</v>
      </c>
    </row>
    <row r="79" spans="1:19">
      <c r="B79" s="486">
        <v>35000000</v>
      </c>
      <c r="C79" s="430" t="s">
        <v>797</v>
      </c>
    </row>
    <row r="80" spans="1:19">
      <c r="B80" s="485">
        <f>[44]Sheet1!$C$22</f>
        <v>0</v>
      </c>
      <c r="C80" s="430" t="s">
        <v>798</v>
      </c>
    </row>
    <row r="81" spans="2:2">
      <c r="B81" s="485">
        <f>SUM(B79:B80)</f>
        <v>35000000</v>
      </c>
    </row>
  </sheetData>
  <mergeCells count="142">
    <mergeCell ref="A1:S1"/>
    <mergeCell ref="A2:S2"/>
    <mergeCell ref="A3:S3"/>
    <mergeCell ref="C5:H5"/>
    <mergeCell ref="I5:N5"/>
    <mergeCell ref="O5:T5"/>
    <mergeCell ref="F6:H6"/>
    <mergeCell ref="L6:N6"/>
    <mergeCell ref="R6:T6"/>
    <mergeCell ref="C19:G19"/>
    <mergeCell ref="I19:M19"/>
    <mergeCell ref="O19:T19"/>
    <mergeCell ref="F20:H20"/>
    <mergeCell ref="L20:N20"/>
    <mergeCell ref="C33:G33"/>
    <mergeCell ref="I33:N33"/>
    <mergeCell ref="O33:T33"/>
    <mergeCell ref="F34:H34"/>
    <mergeCell ref="L34:N34"/>
    <mergeCell ref="R34:T34"/>
    <mergeCell ref="C47:G47"/>
    <mergeCell ref="I47:M47"/>
    <mergeCell ref="O47:S47"/>
    <mergeCell ref="F48:H48"/>
    <mergeCell ref="L48:N48"/>
    <mergeCell ref="R48:S48"/>
    <mergeCell ref="C65:H65"/>
    <mergeCell ref="F66:H66"/>
    <mergeCell ref="A5:A7"/>
    <mergeCell ref="A19:A21"/>
    <mergeCell ref="A33:A35"/>
    <mergeCell ref="A47:A49"/>
    <mergeCell ref="A65:A67"/>
    <mergeCell ref="B5:B7"/>
    <mergeCell ref="B19:B21"/>
    <mergeCell ref="B33:B35"/>
    <mergeCell ref="B47:B49"/>
    <mergeCell ref="B65:B67"/>
    <mergeCell ref="C6:C7"/>
    <mergeCell ref="C20:C21"/>
    <mergeCell ref="C34:C35"/>
    <mergeCell ref="C48:C49"/>
    <mergeCell ref="C66:C67"/>
    <mergeCell ref="D6:D7"/>
    <mergeCell ref="D8:D15"/>
    <mergeCell ref="D20:D21"/>
    <mergeCell ref="D22:D29"/>
    <mergeCell ref="D34:D35"/>
    <mergeCell ref="D36:D43"/>
    <mergeCell ref="D48:D49"/>
    <mergeCell ref="D50:D57"/>
    <mergeCell ref="D66:D67"/>
    <mergeCell ref="D68:D74"/>
    <mergeCell ref="E6:E7"/>
    <mergeCell ref="E8:E15"/>
    <mergeCell ref="E20:E21"/>
    <mergeCell ref="E22:E29"/>
    <mergeCell ref="E34:E35"/>
    <mergeCell ref="E36:E43"/>
    <mergeCell ref="E48:E49"/>
    <mergeCell ref="E50:E57"/>
    <mergeCell ref="E66:E67"/>
    <mergeCell ref="E68:E74"/>
    <mergeCell ref="F8:F15"/>
    <mergeCell ref="F22:F29"/>
    <mergeCell ref="F36:F43"/>
    <mergeCell ref="F50:F57"/>
    <mergeCell ref="F68:F74"/>
    <mergeCell ref="G8:G15"/>
    <mergeCell ref="G22:G29"/>
    <mergeCell ref="G36:G43"/>
    <mergeCell ref="G50:G57"/>
    <mergeCell ref="G68:G74"/>
    <mergeCell ref="H8:H15"/>
    <mergeCell ref="H22:H29"/>
    <mergeCell ref="H36:H43"/>
    <mergeCell ref="H50:H57"/>
    <mergeCell ref="H68:H74"/>
    <mergeCell ref="I6:I7"/>
    <mergeCell ref="I20:I21"/>
    <mergeCell ref="I34:I35"/>
    <mergeCell ref="I48:I49"/>
    <mergeCell ref="I68:I73"/>
    <mergeCell ref="J6:J7"/>
    <mergeCell ref="J8:J15"/>
    <mergeCell ref="J20:J21"/>
    <mergeCell ref="J22:J29"/>
    <mergeCell ref="J34:J35"/>
    <mergeCell ref="J36:J43"/>
    <mergeCell ref="J48:J49"/>
    <mergeCell ref="J50:J57"/>
    <mergeCell ref="K6:K7"/>
    <mergeCell ref="K8:K15"/>
    <mergeCell ref="K20:K21"/>
    <mergeCell ref="K22:K29"/>
    <mergeCell ref="K34:K35"/>
    <mergeCell ref="K36:K43"/>
    <mergeCell ref="K48:K49"/>
    <mergeCell ref="K50:K57"/>
    <mergeCell ref="L8:L15"/>
    <mergeCell ref="L22:L29"/>
    <mergeCell ref="L36:L43"/>
    <mergeCell ref="L50:L57"/>
    <mergeCell ref="M8:M15"/>
    <mergeCell ref="M22:M29"/>
    <mergeCell ref="M36:M43"/>
    <mergeCell ref="M50:M57"/>
    <mergeCell ref="N8:N15"/>
    <mergeCell ref="N22:N29"/>
    <mergeCell ref="N36:N43"/>
    <mergeCell ref="N50:N57"/>
    <mergeCell ref="O6:O7"/>
    <mergeCell ref="O20:O21"/>
    <mergeCell ref="O34:O35"/>
    <mergeCell ref="O48:O49"/>
    <mergeCell ref="P6:P7"/>
    <mergeCell ref="P8:P15"/>
    <mergeCell ref="P20:P21"/>
    <mergeCell ref="P22:P29"/>
    <mergeCell ref="P34:P35"/>
    <mergeCell ref="P36:P41"/>
    <mergeCell ref="P48:P49"/>
    <mergeCell ref="P50:P57"/>
    <mergeCell ref="Q6:Q7"/>
    <mergeCell ref="Q8:Q15"/>
    <mergeCell ref="Q20:Q21"/>
    <mergeCell ref="Q22:Q29"/>
    <mergeCell ref="Q34:Q35"/>
    <mergeCell ref="Q36:Q41"/>
    <mergeCell ref="Q48:Q49"/>
    <mergeCell ref="Q50:Q57"/>
    <mergeCell ref="R8:R15"/>
    <mergeCell ref="R22:R29"/>
    <mergeCell ref="R36:R41"/>
    <mergeCell ref="R50:R57"/>
    <mergeCell ref="S8:S15"/>
    <mergeCell ref="S22:S29"/>
    <mergeCell ref="S36:S41"/>
    <mergeCell ref="S50:S57"/>
    <mergeCell ref="T8:T15"/>
    <mergeCell ref="T22:T29"/>
    <mergeCell ref="T36:T41"/>
  </mergeCells>
  <pageMargins left="0.0763888888888889" right="0.708661417322835" top="1.04861111111111" bottom="0.748031496062992" header="0.31496062992126" footer="0.31496062992126"/>
  <pageSetup paperSize="5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27"/>
  <sheetViews>
    <sheetView view="pageLayout" zoomScaleNormal="100" topLeftCell="A13" workbookViewId="0">
      <selection activeCell="D24" sqref="D24"/>
    </sheetView>
  </sheetViews>
  <sheetFormatPr defaultColWidth="9" defaultRowHeight="14.5" outlineLevelCol="7"/>
  <cols>
    <col min="1" max="1" width="9" style="386"/>
    <col min="2" max="2" width="6.13636363636364" style="386" customWidth="1"/>
    <col min="3" max="3" width="24.8545454545455" style="386" customWidth="1"/>
    <col min="4" max="4" width="18" style="386" customWidth="1"/>
    <col min="5" max="5" width="18.7090909090909" style="386" customWidth="1"/>
    <col min="6" max="6" width="11.4272727272727" style="386" customWidth="1"/>
    <col min="7" max="7" width="15.1363636363636" style="386" customWidth="1"/>
    <col min="8" max="8" width="12" style="386" customWidth="1"/>
    <col min="9" max="16384" width="9" style="386"/>
  </cols>
  <sheetData>
    <row r="1" spans="2:8">
      <c r="B1" s="387" t="s">
        <v>799</v>
      </c>
      <c r="C1" s="387"/>
      <c r="D1" s="387"/>
      <c r="E1" s="387"/>
      <c r="F1" s="388"/>
      <c r="G1" s="388"/>
      <c r="H1" s="388"/>
    </row>
    <row r="2" spans="2:8">
      <c r="B2" s="387" t="s">
        <v>800</v>
      </c>
      <c r="C2" s="387"/>
      <c r="D2" s="387"/>
      <c r="E2" s="387"/>
      <c r="F2" s="388"/>
      <c r="G2" s="388"/>
      <c r="H2" s="388"/>
    </row>
    <row r="3" spans="2:8">
      <c r="B3" s="387" t="s">
        <v>801</v>
      </c>
      <c r="C3" s="387"/>
      <c r="D3" s="387"/>
      <c r="E3" s="387"/>
      <c r="F3" s="388"/>
      <c r="G3" s="388"/>
      <c r="H3" s="388"/>
    </row>
    <row r="4" spans="2:8">
      <c r="B4" s="389" t="s">
        <v>802</v>
      </c>
      <c r="C4" s="389"/>
    </row>
    <row r="5" spans="2:8">
      <c r="B5" s="390" t="s">
        <v>803</v>
      </c>
      <c r="C5" s="391" t="s">
        <v>804</v>
      </c>
      <c r="D5" s="392" t="s">
        <v>805</v>
      </c>
      <c r="E5" s="393" t="s">
        <v>22</v>
      </c>
    </row>
    <row r="6" ht="15.25" spans="2:8">
      <c r="B6" s="394"/>
      <c r="C6" s="395"/>
      <c r="D6" s="396"/>
      <c r="E6" s="397"/>
    </row>
    <row r="7" ht="15.25" spans="2:8">
      <c r="B7" s="398" t="s">
        <v>806</v>
      </c>
      <c r="C7" s="399"/>
      <c r="D7" s="400"/>
      <c r="E7" s="401"/>
    </row>
    <row r="8" ht="15.25" spans="2:8">
      <c r="B8" s="398" t="s">
        <v>807</v>
      </c>
      <c r="C8" s="399"/>
      <c r="D8" s="400"/>
      <c r="E8" s="402"/>
    </row>
    <row r="9" ht="17.45" customHeight="1" spans="2:8">
      <c r="B9" s="403">
        <v>1</v>
      </c>
      <c r="C9" s="404" t="s">
        <v>808</v>
      </c>
      <c r="D9" s="405" t="s">
        <v>809</v>
      </c>
      <c r="E9" s="406">
        <v>2945000</v>
      </c>
      <c r="F9" s="407"/>
    </row>
    <row r="10" ht="17.45" customHeight="1" spans="2:8">
      <c r="B10" s="408">
        <v>2</v>
      </c>
      <c r="C10" s="409" t="s">
        <v>810</v>
      </c>
      <c r="D10" s="410" t="str">
        <f>D9</f>
        <v>31/8/2026</v>
      </c>
      <c r="E10" s="411">
        <v>1083000</v>
      </c>
    </row>
    <row r="11" ht="17.45" customHeight="1" spans="2:8">
      <c r="B11" s="408">
        <v>3</v>
      </c>
      <c r="C11" s="409" t="s">
        <v>811</v>
      </c>
      <c r="D11" s="410" t="str">
        <f t="shared" ref="D11:D13" si="0">D10</f>
        <v>31/8/2026</v>
      </c>
      <c r="E11" s="411">
        <v>20000</v>
      </c>
    </row>
    <row r="12" ht="17.45" customHeight="1" spans="2:8">
      <c r="B12" s="408">
        <v>5</v>
      </c>
      <c r="C12" s="409" t="s">
        <v>229</v>
      </c>
      <c r="D12" s="410" t="str">
        <f t="shared" si="0"/>
        <v>31/8/2026</v>
      </c>
      <c r="E12" s="411"/>
    </row>
    <row r="13" ht="17.45" customHeight="1" spans="2:8">
      <c r="B13" s="408">
        <v>6</v>
      </c>
      <c r="C13" s="409" t="s">
        <v>812</v>
      </c>
      <c r="D13" s="410" t="str">
        <f t="shared" si="0"/>
        <v>31/8/2026</v>
      </c>
      <c r="E13" s="412">
        <v>713870</v>
      </c>
    </row>
    <row r="14" s="385" customFormat="1" ht="16.25" spans="2:8">
      <c r="B14" s="413" t="s">
        <v>813</v>
      </c>
      <c r="C14" s="414"/>
      <c r="D14" s="415"/>
      <c r="E14" s="416">
        <f>SUM(E9:E13)</f>
        <v>4761870</v>
      </c>
      <c r="F14" s="417"/>
    </row>
    <row r="15" ht="16.25" spans="2:8">
      <c r="B15" s="413" t="s">
        <v>814</v>
      </c>
      <c r="C15" s="414"/>
      <c r="D15" s="415"/>
      <c r="E15" s="416">
        <v>1617000</v>
      </c>
    </row>
    <row r="16" ht="16.25" spans="2:8">
      <c r="B16" s="413" t="s">
        <v>813</v>
      </c>
      <c r="C16" s="414"/>
      <c r="D16" s="415"/>
      <c r="E16" s="416">
        <f>SUM(E14-E15)</f>
        <v>3144870</v>
      </c>
    </row>
    <row r="17" ht="15.5" spans="2:6">
      <c r="B17" s="418"/>
      <c r="C17" s="418"/>
      <c r="D17" s="418"/>
      <c r="E17" s="419"/>
    </row>
    <row r="18" spans="2:6">
      <c r="B18" s="420" t="s">
        <v>113</v>
      </c>
      <c r="C18" s="420"/>
      <c r="D18" s="420"/>
      <c r="E18" s="420"/>
    </row>
    <row r="19" spans="2:6">
      <c r="B19" s="420" t="s">
        <v>114</v>
      </c>
      <c r="C19" s="420"/>
      <c r="D19" s="420"/>
      <c r="E19" s="420"/>
    </row>
    <row r="20" spans="2:6">
      <c r="B20" s="420"/>
      <c r="C20" s="420"/>
      <c r="D20" s="420"/>
      <c r="E20" s="420"/>
    </row>
    <row r="22" spans="2:6">
      <c r="B22" s="420" t="s">
        <v>115</v>
      </c>
      <c r="C22" s="420"/>
      <c r="E22" s="420" t="s">
        <v>116</v>
      </c>
    </row>
    <row r="23" spans="2:6">
      <c r="F23" s="421"/>
    </row>
    <row r="24" spans="2:6">
      <c r="D24" s="422"/>
      <c r="F24" s="421"/>
    </row>
    <row r="25" spans="2:6">
      <c r="D25" s="422"/>
      <c r="F25" s="421"/>
    </row>
    <row r="27" spans="2:6">
      <c r="B27" s="423" t="s">
        <v>117</v>
      </c>
      <c r="C27" s="423"/>
      <c r="D27" s="421"/>
      <c r="E27" s="423" t="s">
        <v>178</v>
      </c>
      <c r="F27" s="421"/>
    </row>
  </sheetData>
  <mergeCells count="17">
    <mergeCell ref="B1:E1"/>
    <mergeCell ref="B2:E2"/>
    <mergeCell ref="B3:E3"/>
    <mergeCell ref="B4:C4"/>
    <mergeCell ref="B7:D7"/>
    <mergeCell ref="B8:D8"/>
    <mergeCell ref="B14:D14"/>
    <mergeCell ref="B15:D15"/>
    <mergeCell ref="B16:D16"/>
    <mergeCell ref="B18:E18"/>
    <mergeCell ref="B19:E19"/>
    <mergeCell ref="B22:C22"/>
    <mergeCell ref="B27:C27"/>
    <mergeCell ref="B5:B6"/>
    <mergeCell ref="C5:C6"/>
    <mergeCell ref="D5:D6"/>
    <mergeCell ref="E5:E6"/>
  </mergeCells>
  <pageMargins left="1.11805555555556" right="0.7" top="1.08333333333333" bottom="0.75" header="0.3" footer="0.3"/>
  <pageSetup paperSize="1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29"/>
  <sheetViews>
    <sheetView view="pageLayout" zoomScaleNormal="100" topLeftCell="A16" workbookViewId="0">
      <selection activeCell="G24" sqref="G24"/>
    </sheetView>
  </sheetViews>
  <sheetFormatPr defaultColWidth="8.72727272727273" defaultRowHeight="14.5" outlineLevelCol="5"/>
  <cols>
    <col min="1" max="1" width="7" customWidth="1"/>
    <col min="2" max="2" width="38.4545454545455" customWidth="1"/>
    <col min="5" max="5" width="11.4545454545455" customWidth="1"/>
    <col min="6" max="6" width="15.5454545454545" customWidth="1"/>
  </cols>
  <sheetData>
    <row r="2" spans="1:6">
      <c r="A2" s="96" t="s">
        <v>0</v>
      </c>
      <c r="B2" s="96"/>
      <c r="C2" s="96"/>
      <c r="D2" s="96"/>
      <c r="E2" s="96"/>
      <c r="F2" s="96"/>
    </row>
    <row r="3" spans="1:6">
      <c r="A3" s="97" t="s">
        <v>815</v>
      </c>
      <c r="B3" s="97"/>
      <c r="C3" s="97"/>
      <c r="D3" s="97"/>
      <c r="E3" s="97"/>
      <c r="F3" s="97"/>
    </row>
    <row r="4" spans="1:6">
      <c r="A4" s="98" t="s">
        <v>204</v>
      </c>
      <c r="B4" s="98"/>
      <c r="C4" s="6" t="s">
        <v>122</v>
      </c>
      <c r="D4" s="6"/>
      <c r="E4" s="6"/>
      <c r="F4" s="7"/>
    </row>
    <row r="5" spans="1:6">
      <c r="A5" s="98" t="s">
        <v>123</v>
      </c>
      <c r="B5" s="98"/>
      <c r="C5" s="6" t="s">
        <v>124</v>
      </c>
      <c r="D5" s="7"/>
      <c r="E5" s="7"/>
      <c r="F5" s="7"/>
    </row>
    <row r="6" spans="1:6">
      <c r="A6" s="98" t="s">
        <v>125</v>
      </c>
      <c r="B6" s="98"/>
      <c r="C6" s="6" t="s">
        <v>126</v>
      </c>
      <c r="D6" s="7"/>
      <c r="E6" s="7"/>
      <c r="F6" s="7"/>
    </row>
    <row r="7" ht="29" spans="1:6">
      <c r="A7" s="100" t="s">
        <v>803</v>
      </c>
      <c r="B7" s="100" t="s">
        <v>816</v>
      </c>
      <c r="C7" s="101" t="s">
        <v>817</v>
      </c>
      <c r="D7" s="101" t="s">
        <v>818</v>
      </c>
      <c r="E7" s="101" t="s">
        <v>819</v>
      </c>
      <c r="F7" s="100" t="s">
        <v>820</v>
      </c>
    </row>
    <row r="8" ht="19" customHeight="1" spans="1:6">
      <c r="A8" s="93">
        <v>1</v>
      </c>
      <c r="B8" s="40" t="s">
        <v>821</v>
      </c>
      <c r="C8" s="91">
        <v>1</v>
      </c>
      <c r="D8" s="108" t="s">
        <v>822</v>
      </c>
      <c r="E8" s="108">
        <v>480000</v>
      </c>
      <c r="F8" s="382">
        <f t="shared" ref="F8:F15" si="0">SUM(E8*C8)</f>
        <v>480000</v>
      </c>
    </row>
    <row r="9" ht="19" customHeight="1" spans="1:6">
      <c r="A9" s="93">
        <v>2</v>
      </c>
      <c r="B9" s="40" t="s">
        <v>823</v>
      </c>
      <c r="C9" s="91">
        <v>1</v>
      </c>
      <c r="D9" s="108" t="s">
        <v>822</v>
      </c>
      <c r="E9" s="108">
        <v>200000</v>
      </c>
      <c r="F9" s="382">
        <f t="shared" si="0"/>
        <v>200000</v>
      </c>
    </row>
    <row r="10" ht="19" customHeight="1" spans="1:6">
      <c r="A10" s="93">
        <v>3</v>
      </c>
      <c r="B10" s="40" t="s">
        <v>824</v>
      </c>
      <c r="C10" s="91">
        <v>1</v>
      </c>
      <c r="D10" s="108" t="s">
        <v>822</v>
      </c>
      <c r="E10" s="108">
        <v>700000</v>
      </c>
      <c r="F10" s="382">
        <f t="shared" si="0"/>
        <v>700000</v>
      </c>
    </row>
    <row r="11" ht="19" customHeight="1" spans="1:6">
      <c r="A11" s="93">
        <v>4</v>
      </c>
      <c r="B11" s="40" t="s">
        <v>825</v>
      </c>
      <c r="C11" s="91">
        <v>1</v>
      </c>
      <c r="D11" s="108" t="s">
        <v>822</v>
      </c>
      <c r="E11" s="108">
        <v>1300000</v>
      </c>
      <c r="F11" s="382">
        <f t="shared" si="0"/>
        <v>1300000</v>
      </c>
    </row>
    <row r="12" ht="19" customHeight="1" spans="1:6">
      <c r="A12" s="93">
        <v>5</v>
      </c>
      <c r="B12" s="40" t="s">
        <v>303</v>
      </c>
      <c r="C12" s="91">
        <v>1</v>
      </c>
      <c r="D12" s="108" t="s">
        <v>822</v>
      </c>
      <c r="E12" s="108">
        <v>530000</v>
      </c>
      <c r="F12" s="382">
        <f t="shared" si="0"/>
        <v>530000</v>
      </c>
    </row>
    <row r="13" ht="19" customHeight="1" spans="1:6">
      <c r="A13" s="93">
        <v>6</v>
      </c>
      <c r="B13" s="40" t="s">
        <v>304</v>
      </c>
      <c r="C13" s="91">
        <v>1</v>
      </c>
      <c r="D13" s="108" t="s">
        <v>822</v>
      </c>
      <c r="E13" s="108">
        <v>300000</v>
      </c>
      <c r="F13" s="382">
        <f t="shared" si="0"/>
        <v>300000</v>
      </c>
    </row>
    <row r="14" ht="19" customHeight="1" spans="1:6">
      <c r="A14" s="93">
        <v>7</v>
      </c>
      <c r="B14" s="383" t="s">
        <v>321</v>
      </c>
      <c r="C14" s="91">
        <v>1</v>
      </c>
      <c r="D14" s="108" t="s">
        <v>822</v>
      </c>
      <c r="E14" s="108">
        <v>400000</v>
      </c>
      <c r="F14" s="382">
        <f t="shared" si="0"/>
        <v>400000</v>
      </c>
    </row>
    <row r="15" ht="19" customHeight="1" spans="1:6">
      <c r="A15" s="93">
        <v>8</v>
      </c>
      <c r="B15" s="40" t="s">
        <v>826</v>
      </c>
      <c r="C15" s="91">
        <v>1</v>
      </c>
      <c r="D15" s="108" t="s">
        <v>822</v>
      </c>
      <c r="E15" s="108">
        <v>40000</v>
      </c>
      <c r="F15" s="382">
        <f t="shared" si="0"/>
        <v>40000</v>
      </c>
    </row>
    <row r="16" ht="19" customHeight="1" spans="1:6">
      <c r="A16" s="93">
        <v>9</v>
      </c>
      <c r="B16" s="40" t="s">
        <v>326</v>
      </c>
      <c r="C16" s="91">
        <v>1</v>
      </c>
      <c r="D16" s="108" t="s">
        <v>822</v>
      </c>
      <c r="E16" s="108">
        <v>41000</v>
      </c>
      <c r="F16" s="382">
        <f>SUM(E16*C16)</f>
        <v>41000</v>
      </c>
    </row>
    <row r="17" ht="19" customHeight="1" spans="1:6">
      <c r="A17" s="93">
        <v>10</v>
      </c>
      <c r="B17" s="40" t="s">
        <v>827</v>
      </c>
      <c r="C17" s="91">
        <v>1</v>
      </c>
      <c r="D17" s="108" t="s">
        <v>822</v>
      </c>
      <c r="E17" s="108">
        <v>4000</v>
      </c>
      <c r="F17" s="382">
        <f>SUM(E17*C17)</f>
        <v>4000</v>
      </c>
    </row>
    <row r="18" ht="19" customHeight="1" spans="1:6">
      <c r="A18" s="93">
        <v>11</v>
      </c>
      <c r="B18" s="40" t="s">
        <v>330</v>
      </c>
      <c r="C18" s="91">
        <v>1</v>
      </c>
      <c r="D18" s="108" t="s">
        <v>822</v>
      </c>
      <c r="E18" s="108">
        <v>65000</v>
      </c>
      <c r="F18" s="382">
        <f>SUM(E18*C18)</f>
        <v>65000</v>
      </c>
    </row>
    <row r="19" ht="19" customHeight="1" spans="1:6">
      <c r="A19" s="93">
        <v>12</v>
      </c>
      <c r="B19" s="40" t="s">
        <v>828</v>
      </c>
      <c r="C19" s="91">
        <v>1</v>
      </c>
      <c r="D19" s="108" t="s">
        <v>822</v>
      </c>
      <c r="E19" s="108">
        <v>60000</v>
      </c>
      <c r="F19" s="382">
        <f>SUM(E19*C19)</f>
        <v>60000</v>
      </c>
    </row>
    <row r="20" ht="19" customHeight="1" spans="1:6">
      <c r="A20" s="93"/>
      <c r="B20" s="109" t="s">
        <v>111</v>
      </c>
      <c r="C20" s="109"/>
      <c r="D20" s="109"/>
      <c r="E20" s="109"/>
      <c r="F20" s="384">
        <f>SUM(F8:F19)</f>
        <v>4120000</v>
      </c>
    </row>
    <row r="21" spans="1:6">
      <c r="A21" s="112" t="s">
        <v>113</v>
      </c>
      <c r="B21" s="112"/>
      <c r="C21" s="112"/>
      <c r="D21" s="112"/>
      <c r="E21" s="112"/>
      <c r="F21" s="112"/>
    </row>
    <row r="22" spans="1:6">
      <c r="A22" s="6" t="s">
        <v>829</v>
      </c>
      <c r="B22" s="6"/>
      <c r="C22" s="6"/>
      <c r="D22" s="6"/>
      <c r="E22" s="6"/>
      <c r="F22" s="6"/>
    </row>
    <row r="23" spans="1:6">
      <c r="A23" s="7"/>
      <c r="B23" s="6"/>
      <c r="C23" s="7"/>
      <c r="D23" s="7"/>
      <c r="E23" s="7"/>
      <c r="F23" s="113"/>
    </row>
    <row r="24" spans="1:6">
      <c r="A24" s="7"/>
      <c r="B24" s="113"/>
      <c r="C24" s="7"/>
      <c r="D24" s="113" t="s">
        <v>830</v>
      </c>
      <c r="E24" s="113"/>
      <c r="F24" s="113"/>
    </row>
    <row r="25" spans="1:6">
      <c r="A25" s="7"/>
      <c r="B25" s="113" t="s">
        <v>115</v>
      </c>
      <c r="C25" s="7"/>
      <c r="D25" s="113" t="s">
        <v>639</v>
      </c>
      <c r="E25" s="113"/>
      <c r="F25" s="113"/>
    </row>
    <row r="26" spans="1:6">
      <c r="A26" s="7"/>
      <c r="B26" s="7"/>
      <c r="C26" s="7"/>
      <c r="D26" s="7"/>
      <c r="E26" s="7"/>
      <c r="F26" s="7"/>
    </row>
    <row r="27" spans="1:6">
      <c r="A27" s="7"/>
      <c r="B27" s="7"/>
      <c r="C27" s="7"/>
      <c r="D27" s="7"/>
      <c r="E27" s="7"/>
      <c r="F27" s="7"/>
    </row>
    <row r="28" spans="1:6">
      <c r="A28" s="7"/>
      <c r="B28" s="7"/>
      <c r="C28" s="7"/>
      <c r="D28" s="7"/>
      <c r="E28" s="114"/>
      <c r="F28" s="7"/>
    </row>
    <row r="29" spans="1:6">
      <c r="A29" s="7"/>
      <c r="B29" s="115" t="s">
        <v>117</v>
      </c>
      <c r="C29" s="116"/>
      <c r="D29" s="115" t="s">
        <v>118</v>
      </c>
      <c r="E29" s="115"/>
      <c r="F29" s="115"/>
    </row>
  </sheetData>
  <mergeCells count="11">
    <mergeCell ref="A2:F2"/>
    <mergeCell ref="A3:F3"/>
    <mergeCell ref="A4:B4"/>
    <mergeCell ref="C4:E4"/>
    <mergeCell ref="A5:B5"/>
    <mergeCell ref="A6:B6"/>
    <mergeCell ref="A21:F21"/>
    <mergeCell ref="A22:F22"/>
    <mergeCell ref="D24:F24"/>
    <mergeCell ref="D25:F25"/>
    <mergeCell ref="D29:F29"/>
  </mergeCells>
  <pageMargins left="0.75" right="0.75" top="1" bottom="1" header="0.5" footer="0.5"/>
  <pageSetup paperSize="5" scale="9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21"/>
  <sheetViews>
    <sheetView topLeftCell="A10" workbookViewId="0">
      <selection activeCell="F18" sqref="F18"/>
    </sheetView>
  </sheetViews>
  <sheetFormatPr defaultColWidth="8.72727272727273" defaultRowHeight="14.5" outlineLevelCol="5"/>
  <cols>
    <col min="2" max="2" width="6.45454545454545" customWidth="1"/>
    <col min="3" max="3" width="19.4545454545455" customWidth="1"/>
    <col min="4" max="4" width="17" customWidth="1"/>
    <col min="5" max="5" width="15.5454545454545" customWidth="1"/>
    <col min="6" max="6" width="17.4545454545455" customWidth="1"/>
  </cols>
  <sheetData>
    <row r="2" spans="2:6">
      <c r="B2" s="97" t="s">
        <v>831</v>
      </c>
      <c r="C2" s="97"/>
      <c r="D2" s="97"/>
      <c r="E2" s="97"/>
      <c r="F2" s="97"/>
    </row>
    <row r="3" spans="2:6">
      <c r="B3" s="97" t="s">
        <v>832</v>
      </c>
      <c r="C3" s="97"/>
      <c r="D3" s="97"/>
      <c r="E3" s="97"/>
      <c r="F3" s="97"/>
    </row>
    <row r="4" spans="2:6">
      <c r="B4" s="97" t="s">
        <v>833</v>
      </c>
      <c r="C4" s="97"/>
      <c r="D4" s="97"/>
      <c r="E4" s="97"/>
      <c r="F4" s="97"/>
    </row>
    <row r="5" spans="2:6">
      <c r="B5" s="380" t="s">
        <v>834</v>
      </c>
      <c r="C5" s="380"/>
      <c r="D5" s="380"/>
      <c r="E5" s="113"/>
      <c r="F5" s="113"/>
    </row>
    <row r="6" spans="2:6">
      <c r="B6" s="100" t="s">
        <v>414</v>
      </c>
      <c r="C6" s="100" t="s">
        <v>644</v>
      </c>
      <c r="D6" s="100" t="s">
        <v>835</v>
      </c>
      <c r="E6" s="365" t="s">
        <v>111</v>
      </c>
      <c r="F6" s="101" t="s">
        <v>836</v>
      </c>
    </row>
    <row r="7" ht="23" customHeight="1" spans="2:6">
      <c r="B7" s="100"/>
      <c r="C7" s="100"/>
      <c r="D7" s="100"/>
      <c r="E7" s="365"/>
      <c r="F7" s="101"/>
    </row>
    <row r="8" ht="68" customHeight="1" spans="2:6">
      <c r="B8" s="369">
        <v>1</v>
      </c>
      <c r="C8" s="370" t="s">
        <v>837</v>
      </c>
      <c r="D8" s="118" t="s">
        <v>838</v>
      </c>
      <c r="E8" s="371">
        <v>1600000</v>
      </c>
      <c r="F8" s="125" t="s">
        <v>5</v>
      </c>
    </row>
    <row r="9" ht="68" customHeight="1" spans="2:6">
      <c r="B9" s="369">
        <v>2</v>
      </c>
      <c r="C9" s="370" t="s">
        <v>839</v>
      </c>
      <c r="D9" s="118" t="s">
        <v>840</v>
      </c>
      <c r="E9" s="371">
        <v>660000</v>
      </c>
      <c r="F9" s="93" t="s">
        <v>7</v>
      </c>
    </row>
    <row r="10" ht="68" customHeight="1" spans="2:6">
      <c r="B10" s="132">
        <v>3</v>
      </c>
      <c r="C10" s="370" t="s">
        <v>841</v>
      </c>
      <c r="D10" s="369" t="s">
        <v>842</v>
      </c>
      <c r="E10" s="108">
        <v>440000</v>
      </c>
      <c r="F10" s="125">
        <v>3</v>
      </c>
    </row>
    <row r="11" ht="37" customHeight="1" spans="2:6">
      <c r="B11" s="132" t="s">
        <v>111</v>
      </c>
      <c r="C11" s="132"/>
      <c r="D11" s="132"/>
      <c r="E11" s="381">
        <f>SUM(E8:E10)</f>
        <v>2700000</v>
      </c>
      <c r="F11" s="125"/>
    </row>
    <row r="12" spans="2:6">
      <c r="B12" s="7"/>
      <c r="C12" s="7"/>
      <c r="D12" s="7"/>
      <c r="E12" s="7"/>
      <c r="F12" s="7"/>
    </row>
    <row r="13" spans="2:6">
      <c r="B13" s="97" t="s">
        <v>400</v>
      </c>
      <c r="C13" s="97"/>
      <c r="D13" s="97"/>
      <c r="E13" s="97"/>
      <c r="F13" s="97"/>
    </row>
    <row r="14" spans="2:6">
      <c r="B14" s="97" t="s">
        <v>113</v>
      </c>
      <c r="C14" s="97"/>
      <c r="D14" s="97"/>
      <c r="E14" s="97"/>
      <c r="F14" s="97"/>
    </row>
    <row r="15" spans="2:6">
      <c r="B15" s="7"/>
      <c r="C15" s="7"/>
      <c r="D15" s="7"/>
      <c r="E15" s="7"/>
      <c r="F15" s="7"/>
    </row>
    <row r="16" spans="2:6">
      <c r="B16" s="7"/>
      <c r="C16" s="7"/>
      <c r="D16" s="113"/>
      <c r="E16" s="7"/>
      <c r="F16" s="7"/>
    </row>
    <row r="17" spans="2:6">
      <c r="B17" s="7"/>
      <c r="C17" s="7"/>
      <c r="D17" s="7"/>
      <c r="E17" s="7"/>
      <c r="F17" s="7"/>
    </row>
    <row r="18" spans="2:6">
      <c r="B18" s="7"/>
      <c r="C18" s="7"/>
      <c r="D18" s="116"/>
      <c r="E18" s="116"/>
      <c r="F18" s="116"/>
    </row>
    <row r="19" spans="2:6">
      <c r="B19" s="7"/>
      <c r="C19" s="7"/>
      <c r="D19" s="113"/>
      <c r="E19" s="113"/>
      <c r="F19" s="113"/>
    </row>
    <row r="20" spans="2:6">
      <c r="B20" s="115" t="s">
        <v>117</v>
      </c>
      <c r="C20" s="115"/>
      <c r="D20" s="376"/>
      <c r="E20" s="377" t="s">
        <v>405</v>
      </c>
      <c r="F20" s="377"/>
    </row>
    <row r="21" spans="2:6">
      <c r="B21" s="113" t="s">
        <v>407</v>
      </c>
      <c r="C21" s="7"/>
      <c r="D21" s="378"/>
      <c r="E21" s="379" t="s">
        <v>408</v>
      </c>
      <c r="F21" s="379"/>
    </row>
  </sheetData>
  <mergeCells count="16">
    <mergeCell ref="B2:F2"/>
    <mergeCell ref="B3:F3"/>
    <mergeCell ref="B4:F4"/>
    <mergeCell ref="B5:D5"/>
    <mergeCell ref="B11:D11"/>
    <mergeCell ref="B13:F13"/>
    <mergeCell ref="B14:F14"/>
    <mergeCell ref="B20:C20"/>
    <mergeCell ref="E20:F20"/>
    <mergeCell ref="B21:C21"/>
    <mergeCell ref="E21:F21"/>
    <mergeCell ref="B6:B7"/>
    <mergeCell ref="C6:C7"/>
    <mergeCell ref="D6:D7"/>
    <mergeCell ref="E6:E7"/>
    <mergeCell ref="F6:F7"/>
  </mergeCells>
  <pageMargins left="0.75" right="0.75" top="1" bottom="1" header="0.5" footer="0.5"/>
  <pageSetup paperSize="1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23"/>
  <sheetViews>
    <sheetView workbookViewId="0">
      <selection activeCell="F8" sqref="F8"/>
    </sheetView>
  </sheetViews>
  <sheetFormatPr defaultColWidth="8.72727272727273" defaultRowHeight="14.5" outlineLevelCol="5"/>
  <cols>
    <col min="3" max="3" width="21.0909090909091" customWidth="1"/>
    <col min="4" max="4" width="15.7272727272727" customWidth="1"/>
    <col min="5" max="5" width="15.4545454545455" customWidth="1"/>
    <col min="6" max="6" width="19" customWidth="1"/>
  </cols>
  <sheetData>
    <row r="2" spans="2:6">
      <c r="B2" s="97" t="s">
        <v>843</v>
      </c>
      <c r="C2" s="97"/>
      <c r="D2" s="97"/>
      <c r="E2" s="97"/>
      <c r="F2" s="97"/>
    </row>
    <row r="3" spans="2:6">
      <c r="B3" s="97" t="s">
        <v>832</v>
      </c>
      <c r="C3" s="97"/>
      <c r="D3" s="97"/>
      <c r="E3" s="97"/>
      <c r="F3" s="97"/>
    </row>
    <row r="4" spans="2:6">
      <c r="B4" s="97" t="s">
        <v>833</v>
      </c>
      <c r="C4" s="97"/>
      <c r="D4" s="97"/>
      <c r="E4" s="97"/>
      <c r="F4" s="97"/>
    </row>
    <row r="5" spans="2:6">
      <c r="B5" s="98" t="s">
        <v>844</v>
      </c>
      <c r="C5" s="98"/>
      <c r="D5" s="98"/>
      <c r="E5" s="113"/>
      <c r="F5" s="113"/>
    </row>
    <row r="6" spans="2:6">
      <c r="B6" s="100" t="s">
        <v>803</v>
      </c>
      <c r="C6" s="100" t="s">
        <v>644</v>
      </c>
      <c r="D6" s="100" t="s">
        <v>835</v>
      </c>
      <c r="E6" s="365" t="s">
        <v>111</v>
      </c>
      <c r="F6" s="366" t="s">
        <v>836</v>
      </c>
    </row>
    <row r="7" ht="19" customHeight="1" spans="2:6">
      <c r="B7" s="100"/>
      <c r="C7" s="100"/>
      <c r="D7" s="100"/>
      <c r="E7" s="365"/>
      <c r="F7" s="366"/>
    </row>
    <row r="8" ht="64" customHeight="1" spans="2:6">
      <c r="B8" s="118">
        <v>1</v>
      </c>
      <c r="C8" s="367" t="s">
        <v>117</v>
      </c>
      <c r="D8" s="118" t="s">
        <v>115</v>
      </c>
      <c r="E8" s="368">
        <v>1600000</v>
      </c>
      <c r="F8" s="103">
        <v>1</v>
      </c>
    </row>
    <row r="9" ht="64" customHeight="1" spans="2:6">
      <c r="B9" s="369">
        <v>2</v>
      </c>
      <c r="C9" s="370" t="s">
        <v>845</v>
      </c>
      <c r="D9" s="118" t="s">
        <v>846</v>
      </c>
      <c r="E9" s="371">
        <v>1550000</v>
      </c>
      <c r="F9" s="93" t="s">
        <v>7</v>
      </c>
    </row>
    <row r="10" ht="64" customHeight="1" spans="2:6">
      <c r="B10" s="369">
        <v>3</v>
      </c>
      <c r="C10" s="370" t="s">
        <v>178</v>
      </c>
      <c r="D10" s="118" t="s">
        <v>116</v>
      </c>
      <c r="E10" s="371">
        <v>1600000</v>
      </c>
      <c r="F10" s="125" t="s">
        <v>23</v>
      </c>
    </row>
    <row r="11" ht="64" customHeight="1" spans="2:6">
      <c r="B11" s="369">
        <v>4</v>
      </c>
      <c r="C11" s="370" t="s">
        <v>762</v>
      </c>
      <c r="D11" s="118" t="s">
        <v>847</v>
      </c>
      <c r="E11" s="371">
        <v>1550000</v>
      </c>
      <c r="F11" s="93" t="s">
        <v>848</v>
      </c>
    </row>
    <row r="12" ht="64" customHeight="1" spans="2:6">
      <c r="B12" s="369">
        <v>5</v>
      </c>
      <c r="C12" s="370" t="s">
        <v>640</v>
      </c>
      <c r="D12" s="118" t="s">
        <v>847</v>
      </c>
      <c r="E12" s="371">
        <v>1550000</v>
      </c>
      <c r="F12" s="125">
        <v>5</v>
      </c>
    </row>
    <row r="13" ht="44" customHeight="1" spans="2:6">
      <c r="B13" s="372" t="s">
        <v>111</v>
      </c>
      <c r="C13" s="373"/>
      <c r="D13" s="373"/>
      <c r="E13" s="374">
        <f>SUM(E8:E12)</f>
        <v>7850000</v>
      </c>
      <c r="F13" s="375"/>
    </row>
    <row r="14" spans="2:6">
      <c r="B14" s="7"/>
      <c r="C14" s="7"/>
      <c r="D14" s="7"/>
      <c r="E14" s="7"/>
      <c r="F14" s="7"/>
    </row>
    <row r="15" spans="2:6">
      <c r="B15" s="97" t="s">
        <v>400</v>
      </c>
      <c r="C15" s="97"/>
      <c r="D15" s="97"/>
      <c r="E15" s="97"/>
      <c r="F15" s="97"/>
    </row>
    <row r="16" spans="2:6">
      <c r="B16" s="97" t="s">
        <v>113</v>
      </c>
      <c r="C16" s="97"/>
      <c r="D16" s="97"/>
      <c r="E16" s="97"/>
      <c r="F16" s="97"/>
    </row>
    <row r="17" spans="2:6">
      <c r="B17" s="7"/>
      <c r="C17" s="7"/>
      <c r="D17" s="7"/>
      <c r="E17" s="7"/>
      <c r="F17" s="7"/>
    </row>
    <row r="18" spans="2:6">
      <c r="B18" s="7"/>
      <c r="C18" s="7"/>
      <c r="D18" s="113"/>
      <c r="E18" s="7"/>
      <c r="F18" s="7"/>
    </row>
    <row r="19" spans="2:6">
      <c r="B19" s="7"/>
      <c r="C19" s="7"/>
      <c r="D19" s="7"/>
      <c r="E19" s="7"/>
      <c r="F19" s="7"/>
    </row>
    <row r="20" spans="2:6">
      <c r="B20" s="7"/>
      <c r="C20" s="7"/>
      <c r="D20" s="116"/>
      <c r="E20" s="116"/>
      <c r="F20" s="116"/>
    </row>
    <row r="21" spans="2:6">
      <c r="B21" s="7"/>
      <c r="C21" s="7"/>
      <c r="D21" s="113"/>
      <c r="E21" s="113"/>
      <c r="F21" s="113"/>
    </row>
    <row r="22" spans="2:6">
      <c r="B22" s="115" t="s">
        <v>117</v>
      </c>
      <c r="C22" s="115"/>
      <c r="D22" s="376"/>
      <c r="E22" s="377" t="s">
        <v>405</v>
      </c>
      <c r="F22" s="377"/>
    </row>
    <row r="23" spans="2:6">
      <c r="B23" s="113" t="s">
        <v>407</v>
      </c>
      <c r="C23" s="7"/>
      <c r="D23" s="378"/>
      <c r="E23" s="379" t="s">
        <v>408</v>
      </c>
      <c r="F23" s="379"/>
    </row>
  </sheetData>
  <mergeCells count="16">
    <mergeCell ref="B2:F2"/>
    <mergeCell ref="B3:F3"/>
    <mergeCell ref="B4:F4"/>
    <mergeCell ref="B5:D5"/>
    <mergeCell ref="B13:D13"/>
    <mergeCell ref="B15:F15"/>
    <mergeCell ref="B16:F16"/>
    <mergeCell ref="B22:C22"/>
    <mergeCell ref="E22:F22"/>
    <mergeCell ref="B23:C23"/>
    <mergeCell ref="E23:F23"/>
    <mergeCell ref="B6:B7"/>
    <mergeCell ref="C6:C7"/>
    <mergeCell ref="D6:D7"/>
    <mergeCell ref="E6:E7"/>
    <mergeCell ref="F6:F7"/>
  </mergeCells>
  <pageMargins left="0.75" right="0.75" top="1" bottom="1" header="0.5" footer="0.5"/>
  <pageSetup paperSize="1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6"/>
  <sheetViews>
    <sheetView view="pageLayout" zoomScale="50" zoomScaleSheetLayoutView="90" zoomScaleNormal="80" topLeftCell="A90" workbookViewId="0">
      <selection activeCell="J99" sqref="J99"/>
    </sheetView>
  </sheetViews>
  <sheetFormatPr defaultColWidth="9" defaultRowHeight="14.5"/>
  <cols>
    <col min="1" max="1" width="7.31818181818182" style="6" customWidth="1"/>
    <col min="2" max="2" width="13.3909090909091" style="7" customWidth="1"/>
    <col min="3" max="3" width="35.2636363636364" style="7" customWidth="1"/>
    <col min="4" max="4" width="7.72727272727273" style="7" customWidth="1"/>
    <col min="5" max="7" width="7.72727272727273" style="6" customWidth="1"/>
    <col min="8" max="8" width="10.2727272727273" style="6" customWidth="1"/>
    <col min="9" max="9" width="13.4545454545455" style="6" customWidth="1"/>
    <col min="10" max="11" width="11.5454545454545" style="7" customWidth="1"/>
    <col min="12" max="12" width="13.7272727272727" style="7" customWidth="1"/>
    <col min="13" max="14" width="14" style="7" customWidth="1"/>
    <col min="15" max="15" width="13.2909090909091" style="7" customWidth="1"/>
    <col min="16" max="16" width="9.72727272727273" style="7"/>
    <col min="17" max="16384" width="9" style="7"/>
  </cols>
  <sheetData>
    <row r="1" ht="15.5" spans="1:16">
      <c r="A1" s="326" t="s">
        <v>849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ht="15.5" spans="1:16">
      <c r="A2" s="327" t="s">
        <v>642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</row>
    <row r="4" s="1" customFormat="1" ht="20.25" customHeight="1" spans="1:16">
      <c r="A4" s="8" t="s">
        <v>414</v>
      </c>
      <c r="B4" s="8" t="s">
        <v>654</v>
      </c>
      <c r="C4" s="8" t="s">
        <v>850</v>
      </c>
      <c r="D4" s="9" t="s">
        <v>851</v>
      </c>
      <c r="E4" s="10"/>
      <c r="F4" s="10"/>
      <c r="G4" s="10"/>
      <c r="H4" s="10"/>
      <c r="I4" s="11"/>
      <c r="J4" s="12" t="s">
        <v>852</v>
      </c>
      <c r="K4" s="13"/>
      <c r="L4" s="13"/>
      <c r="M4" s="328" t="s">
        <v>853</v>
      </c>
      <c r="N4" s="329" t="s">
        <v>854</v>
      </c>
      <c r="O4" s="330" t="s">
        <v>855</v>
      </c>
    </row>
    <row r="5" s="1" customFormat="1" ht="20.25" customHeight="1" spans="1:16">
      <c r="A5" s="16"/>
      <c r="B5" s="16"/>
      <c r="C5" s="16"/>
      <c r="D5" s="17" t="s">
        <v>856</v>
      </c>
      <c r="E5" s="17" t="s">
        <v>857</v>
      </c>
      <c r="F5" s="331" t="s">
        <v>858</v>
      </c>
      <c r="G5" s="17" t="s">
        <v>859</v>
      </c>
      <c r="H5" s="9" t="s">
        <v>646</v>
      </c>
      <c r="I5" s="11"/>
      <c r="J5" s="12" t="s">
        <v>860</v>
      </c>
      <c r="K5" s="13"/>
      <c r="L5" s="13"/>
      <c r="M5" s="328"/>
      <c r="N5" s="332"/>
      <c r="O5" s="333"/>
    </row>
    <row r="6" s="1" customFormat="1" ht="20.25" customHeight="1" spans="1:16">
      <c r="A6" s="20"/>
      <c r="B6" s="20"/>
      <c r="C6" s="20"/>
      <c r="D6" s="21"/>
      <c r="E6" s="21"/>
      <c r="F6" s="21"/>
      <c r="G6" s="21"/>
      <c r="H6" s="21" t="s">
        <v>859</v>
      </c>
      <c r="I6" s="21" t="s">
        <v>657</v>
      </c>
      <c r="J6" s="22" t="s">
        <v>861</v>
      </c>
      <c r="K6" s="23" t="s">
        <v>862</v>
      </c>
      <c r="L6" s="334" t="s">
        <v>863</v>
      </c>
      <c r="M6" s="328"/>
      <c r="N6" s="335"/>
      <c r="O6" s="336"/>
    </row>
    <row r="7" s="2" customFormat="1" ht="22" customHeight="1" spans="1:16">
      <c r="A7" s="25">
        <v>1</v>
      </c>
      <c r="B7" s="337">
        <v>46002</v>
      </c>
      <c r="C7" s="27" t="s">
        <v>864</v>
      </c>
      <c r="D7" s="25">
        <v>3</v>
      </c>
      <c r="E7" s="25"/>
      <c r="F7" s="25">
        <f>SUM(D7-E7)</f>
        <v>3</v>
      </c>
      <c r="G7" s="25"/>
      <c r="H7" s="29">
        <v>256880</v>
      </c>
      <c r="I7" s="30">
        <f>SUM(E7*H7)</f>
        <v>0</v>
      </c>
      <c r="J7" s="25"/>
      <c r="K7" s="31">
        <v>295000</v>
      </c>
      <c r="L7" s="32">
        <f>SUM(J7*K7)</f>
        <v>0</v>
      </c>
      <c r="M7" s="34">
        <f>SUM(L7-I7)</f>
        <v>0</v>
      </c>
      <c r="N7" s="34">
        <f>SUM(M7*70%)</f>
        <v>0</v>
      </c>
      <c r="O7" s="34">
        <f>SUM(M7*30%)</f>
        <v>0</v>
      </c>
      <c r="P7" s="35"/>
    </row>
    <row r="8" s="3" customFormat="1" ht="22" customHeight="1" spans="1:16">
      <c r="A8" s="25">
        <v>2</v>
      </c>
      <c r="B8" s="337">
        <v>46002</v>
      </c>
      <c r="C8" s="27" t="s">
        <v>865</v>
      </c>
      <c r="D8" s="37">
        <v>3</v>
      </c>
      <c r="E8" s="37"/>
      <c r="F8" s="25">
        <f t="shared" ref="F8:F71" si="0">SUM(D8-E8)</f>
        <v>3</v>
      </c>
      <c r="G8" s="37"/>
      <c r="H8" s="38">
        <v>312360</v>
      </c>
      <c r="I8" s="30">
        <f t="shared" ref="I8:I71" si="1">SUM(E8*H8)</f>
        <v>0</v>
      </c>
      <c r="J8" s="37"/>
      <c r="K8" s="39">
        <v>347000</v>
      </c>
      <c r="L8" s="32">
        <f t="shared" ref="L8:L71" si="2">SUM(J8*K8)</f>
        <v>0</v>
      </c>
      <c r="M8" s="34">
        <f t="shared" ref="M8:M71" si="3">SUM(L8-I8)</f>
        <v>0</v>
      </c>
      <c r="N8" s="34">
        <f t="shared" ref="N8:N71" si="4">SUM(M8*70%)</f>
        <v>0</v>
      </c>
      <c r="O8" s="34">
        <f t="shared" ref="O8:O71" si="5">SUM(M8*30%)</f>
        <v>0</v>
      </c>
      <c r="P8" s="35"/>
    </row>
    <row r="9" s="3" customFormat="1" ht="22" customHeight="1" spans="1:16">
      <c r="A9" s="25">
        <v>3</v>
      </c>
      <c r="B9" s="337">
        <v>46002</v>
      </c>
      <c r="C9" s="27" t="s">
        <v>866</v>
      </c>
      <c r="D9" s="37">
        <v>3</v>
      </c>
      <c r="E9" s="37"/>
      <c r="F9" s="25">
        <f t="shared" si="0"/>
        <v>3</v>
      </c>
      <c r="G9" s="37"/>
      <c r="H9" s="38">
        <v>336680</v>
      </c>
      <c r="I9" s="30">
        <f t="shared" si="1"/>
        <v>0</v>
      </c>
      <c r="J9" s="37"/>
      <c r="K9" s="39">
        <v>370000</v>
      </c>
      <c r="L9" s="32">
        <f t="shared" si="2"/>
        <v>0</v>
      </c>
      <c r="M9" s="34">
        <f t="shared" si="3"/>
        <v>0</v>
      </c>
      <c r="N9" s="34">
        <f t="shared" si="4"/>
        <v>0</v>
      </c>
      <c r="O9" s="34">
        <f t="shared" si="5"/>
        <v>0</v>
      </c>
      <c r="P9" s="35"/>
    </row>
    <row r="10" s="4" customFormat="1" ht="22" customHeight="1" spans="1:16">
      <c r="A10" s="25">
        <v>4</v>
      </c>
      <c r="B10" s="337">
        <v>46002</v>
      </c>
      <c r="C10" s="27" t="s">
        <v>867</v>
      </c>
      <c r="D10" s="37">
        <v>2</v>
      </c>
      <c r="E10" s="37"/>
      <c r="F10" s="25">
        <f t="shared" si="0"/>
        <v>2</v>
      </c>
      <c r="G10" s="37"/>
      <c r="H10" s="41">
        <v>409040</v>
      </c>
      <c r="I10" s="30">
        <f t="shared" si="1"/>
        <v>0</v>
      </c>
      <c r="J10" s="37"/>
      <c r="K10" s="42">
        <v>450000</v>
      </c>
      <c r="L10" s="32">
        <f t="shared" si="2"/>
        <v>0</v>
      </c>
      <c r="M10" s="34">
        <f t="shared" si="3"/>
        <v>0</v>
      </c>
      <c r="N10" s="34">
        <f t="shared" si="4"/>
        <v>0</v>
      </c>
      <c r="O10" s="34">
        <f t="shared" si="5"/>
        <v>0</v>
      </c>
      <c r="P10" s="35"/>
    </row>
    <row r="11" s="4" customFormat="1" ht="22" customHeight="1" spans="1:16">
      <c r="A11" s="25">
        <v>5</v>
      </c>
      <c r="B11" s="337">
        <v>46002</v>
      </c>
      <c r="C11" s="27" t="s">
        <v>868</v>
      </c>
      <c r="D11" s="37">
        <v>4</v>
      </c>
      <c r="E11" s="37">
        <v>2</v>
      </c>
      <c r="F11" s="25">
        <f t="shared" si="0"/>
        <v>2</v>
      </c>
      <c r="G11" s="37"/>
      <c r="H11" s="42">
        <v>181040</v>
      </c>
      <c r="I11" s="30">
        <f t="shared" si="1"/>
        <v>362080</v>
      </c>
      <c r="J11" s="37">
        <v>2</v>
      </c>
      <c r="K11" s="42">
        <v>215000</v>
      </c>
      <c r="L11" s="32">
        <f t="shared" si="2"/>
        <v>430000</v>
      </c>
      <c r="M11" s="34">
        <f t="shared" si="3"/>
        <v>67920</v>
      </c>
      <c r="N11" s="34">
        <f t="shared" si="4"/>
        <v>47544</v>
      </c>
      <c r="O11" s="34">
        <f t="shared" si="5"/>
        <v>20376</v>
      </c>
      <c r="P11" s="35"/>
    </row>
    <row r="12" s="4" customFormat="1" ht="22" customHeight="1" spans="1:16">
      <c r="A12" s="25">
        <v>6</v>
      </c>
      <c r="B12" s="337">
        <v>46002</v>
      </c>
      <c r="C12" s="27" t="s">
        <v>869</v>
      </c>
      <c r="D12" s="37">
        <v>2</v>
      </c>
      <c r="E12" s="37"/>
      <c r="F12" s="25">
        <f t="shared" si="0"/>
        <v>2</v>
      </c>
      <c r="G12" s="37"/>
      <c r="H12" s="42">
        <v>216080</v>
      </c>
      <c r="I12" s="30">
        <f t="shared" si="1"/>
        <v>0</v>
      </c>
      <c r="J12" s="37"/>
      <c r="K12" s="42">
        <v>260000</v>
      </c>
      <c r="L12" s="32">
        <f t="shared" si="2"/>
        <v>0</v>
      </c>
      <c r="M12" s="34">
        <f t="shared" si="3"/>
        <v>0</v>
      </c>
      <c r="N12" s="34">
        <f t="shared" si="4"/>
        <v>0</v>
      </c>
      <c r="O12" s="34">
        <f t="shared" si="5"/>
        <v>0</v>
      </c>
      <c r="P12" s="35"/>
    </row>
    <row r="13" s="4" customFormat="1" ht="22" customHeight="1" spans="1:16">
      <c r="A13" s="25">
        <v>7</v>
      </c>
      <c r="B13" s="337">
        <v>46002</v>
      </c>
      <c r="C13" s="27" t="s">
        <v>870</v>
      </c>
      <c r="D13" s="37">
        <v>3</v>
      </c>
      <c r="E13" s="37"/>
      <c r="F13" s="25">
        <f t="shared" si="0"/>
        <v>3</v>
      </c>
      <c r="G13" s="37"/>
      <c r="H13" s="42">
        <v>188340</v>
      </c>
      <c r="I13" s="30">
        <f t="shared" si="1"/>
        <v>0</v>
      </c>
      <c r="J13" s="37"/>
      <c r="K13" s="42">
        <v>230000</v>
      </c>
      <c r="L13" s="32">
        <f t="shared" si="2"/>
        <v>0</v>
      </c>
      <c r="M13" s="34">
        <f t="shared" si="3"/>
        <v>0</v>
      </c>
      <c r="N13" s="34">
        <f t="shared" si="4"/>
        <v>0</v>
      </c>
      <c r="O13" s="34">
        <f t="shared" si="5"/>
        <v>0</v>
      </c>
      <c r="P13" s="35"/>
    </row>
    <row r="14" s="4" customFormat="1" ht="22" customHeight="1" spans="1:16">
      <c r="A14" s="25">
        <v>8</v>
      </c>
      <c r="B14" s="337">
        <v>46002</v>
      </c>
      <c r="C14" s="27" t="s">
        <v>871</v>
      </c>
      <c r="D14" s="37">
        <v>4</v>
      </c>
      <c r="E14" s="37"/>
      <c r="F14" s="25">
        <f t="shared" si="0"/>
        <v>4</v>
      </c>
      <c r="G14" s="37"/>
      <c r="H14" s="42">
        <v>218270</v>
      </c>
      <c r="I14" s="30">
        <f t="shared" si="1"/>
        <v>0</v>
      </c>
      <c r="J14" s="37"/>
      <c r="K14" s="42">
        <v>245000</v>
      </c>
      <c r="L14" s="32">
        <f t="shared" si="2"/>
        <v>0</v>
      </c>
      <c r="M14" s="34">
        <f t="shared" si="3"/>
        <v>0</v>
      </c>
      <c r="N14" s="34">
        <f t="shared" si="4"/>
        <v>0</v>
      </c>
      <c r="O14" s="34">
        <f t="shared" si="5"/>
        <v>0</v>
      </c>
      <c r="P14" s="35"/>
    </row>
    <row r="15" s="4" customFormat="1" ht="22" customHeight="1" spans="1:16">
      <c r="A15" s="25">
        <v>9</v>
      </c>
      <c r="B15" s="337">
        <v>46002</v>
      </c>
      <c r="C15" s="27" t="s">
        <v>872</v>
      </c>
      <c r="D15" s="37">
        <v>5</v>
      </c>
      <c r="E15" s="37"/>
      <c r="F15" s="25">
        <f t="shared" si="0"/>
        <v>5</v>
      </c>
      <c r="G15" s="37"/>
      <c r="H15" s="42">
        <v>248200</v>
      </c>
      <c r="I15" s="30">
        <f t="shared" si="1"/>
        <v>0</v>
      </c>
      <c r="J15" s="37"/>
      <c r="K15" s="42">
        <v>275000</v>
      </c>
      <c r="L15" s="32">
        <f t="shared" si="2"/>
        <v>0</v>
      </c>
      <c r="M15" s="34">
        <f t="shared" si="3"/>
        <v>0</v>
      </c>
      <c r="N15" s="34">
        <f t="shared" si="4"/>
        <v>0</v>
      </c>
      <c r="O15" s="34">
        <f t="shared" si="5"/>
        <v>0</v>
      </c>
      <c r="P15" s="35"/>
    </row>
    <row r="16" s="4" customFormat="1" ht="22" customHeight="1" spans="1:16">
      <c r="A16" s="25">
        <v>10</v>
      </c>
      <c r="B16" s="337">
        <v>46002</v>
      </c>
      <c r="C16" s="40" t="s">
        <v>873</v>
      </c>
      <c r="D16" s="37">
        <v>9</v>
      </c>
      <c r="E16" s="37"/>
      <c r="F16" s="25">
        <f t="shared" si="0"/>
        <v>9</v>
      </c>
      <c r="G16" s="37"/>
      <c r="H16" s="42">
        <v>57500</v>
      </c>
      <c r="I16" s="30">
        <f t="shared" si="1"/>
        <v>0</v>
      </c>
      <c r="J16" s="37"/>
      <c r="K16" s="42">
        <v>77000</v>
      </c>
      <c r="L16" s="32">
        <f t="shared" si="2"/>
        <v>0</v>
      </c>
      <c r="M16" s="34">
        <f t="shared" si="3"/>
        <v>0</v>
      </c>
      <c r="N16" s="34">
        <f t="shared" si="4"/>
        <v>0</v>
      </c>
      <c r="O16" s="34">
        <f t="shared" si="5"/>
        <v>0</v>
      </c>
      <c r="P16" s="35"/>
    </row>
    <row r="17" s="4" customFormat="1" ht="22" customHeight="1" spans="1:16">
      <c r="A17" s="25">
        <v>11</v>
      </c>
      <c r="B17" s="337">
        <v>46002</v>
      </c>
      <c r="C17" s="40" t="s">
        <v>874</v>
      </c>
      <c r="D17" s="37">
        <v>10</v>
      </c>
      <c r="E17" s="37"/>
      <c r="F17" s="25">
        <f t="shared" si="0"/>
        <v>10</v>
      </c>
      <c r="G17" s="37"/>
      <c r="H17" s="42">
        <v>57500</v>
      </c>
      <c r="I17" s="30">
        <f t="shared" si="1"/>
        <v>0</v>
      </c>
      <c r="J17" s="37"/>
      <c r="K17" s="42">
        <v>77000</v>
      </c>
      <c r="L17" s="32">
        <f t="shared" si="2"/>
        <v>0</v>
      </c>
      <c r="M17" s="34">
        <f t="shared" si="3"/>
        <v>0</v>
      </c>
      <c r="N17" s="34">
        <f t="shared" si="4"/>
        <v>0</v>
      </c>
      <c r="O17" s="34">
        <f t="shared" si="5"/>
        <v>0</v>
      </c>
      <c r="P17" s="35"/>
    </row>
    <row r="18" s="4" customFormat="1" ht="22" customHeight="1" spans="1:16">
      <c r="A18" s="25">
        <v>12</v>
      </c>
      <c r="B18" s="337">
        <v>46002</v>
      </c>
      <c r="C18" s="40" t="s">
        <v>875</v>
      </c>
      <c r="D18" s="37">
        <v>10</v>
      </c>
      <c r="E18" s="37"/>
      <c r="F18" s="25">
        <f t="shared" si="0"/>
        <v>10</v>
      </c>
      <c r="G18" s="37"/>
      <c r="H18" s="42">
        <v>120000</v>
      </c>
      <c r="I18" s="30">
        <f t="shared" si="1"/>
        <v>0</v>
      </c>
      <c r="J18" s="37"/>
      <c r="K18" s="42">
        <v>145000</v>
      </c>
      <c r="L18" s="32">
        <f t="shared" si="2"/>
        <v>0</v>
      </c>
      <c r="M18" s="34">
        <f t="shared" si="3"/>
        <v>0</v>
      </c>
      <c r="N18" s="34">
        <f t="shared" si="4"/>
        <v>0</v>
      </c>
      <c r="O18" s="34">
        <f t="shared" si="5"/>
        <v>0</v>
      </c>
      <c r="P18" s="35"/>
    </row>
    <row r="19" s="4" customFormat="1" ht="22" customHeight="1" spans="1:16">
      <c r="A19" s="25">
        <v>13</v>
      </c>
      <c r="B19" s="337">
        <v>46002</v>
      </c>
      <c r="C19" s="40" t="s">
        <v>876</v>
      </c>
      <c r="D19" s="37">
        <v>10</v>
      </c>
      <c r="E19" s="37">
        <v>1</v>
      </c>
      <c r="F19" s="25">
        <f t="shared" si="0"/>
        <v>9</v>
      </c>
      <c r="G19" s="37"/>
      <c r="H19" s="42">
        <v>62000</v>
      </c>
      <c r="I19" s="30">
        <f t="shared" si="1"/>
        <v>62000</v>
      </c>
      <c r="J19" s="37">
        <v>1</v>
      </c>
      <c r="K19" s="42">
        <v>80000</v>
      </c>
      <c r="L19" s="32">
        <f t="shared" si="2"/>
        <v>80000</v>
      </c>
      <c r="M19" s="34">
        <f t="shared" si="3"/>
        <v>18000</v>
      </c>
      <c r="N19" s="34">
        <f t="shared" si="4"/>
        <v>12600</v>
      </c>
      <c r="O19" s="34">
        <f t="shared" si="5"/>
        <v>5400</v>
      </c>
      <c r="P19" s="35"/>
    </row>
    <row r="20" s="4" customFormat="1" ht="22" customHeight="1" spans="1:16">
      <c r="A20" s="25">
        <v>14</v>
      </c>
      <c r="B20" s="337">
        <v>46002</v>
      </c>
      <c r="C20" s="40" t="s">
        <v>877</v>
      </c>
      <c r="D20" s="37">
        <v>9</v>
      </c>
      <c r="E20" s="37"/>
      <c r="F20" s="25">
        <f t="shared" si="0"/>
        <v>9</v>
      </c>
      <c r="G20" s="37"/>
      <c r="H20" s="42">
        <v>99000</v>
      </c>
      <c r="I20" s="30">
        <f t="shared" si="1"/>
        <v>0</v>
      </c>
      <c r="J20" s="37"/>
      <c r="K20" s="42">
        <v>120000</v>
      </c>
      <c r="L20" s="32">
        <f t="shared" si="2"/>
        <v>0</v>
      </c>
      <c r="M20" s="34">
        <f t="shared" si="3"/>
        <v>0</v>
      </c>
      <c r="N20" s="34">
        <f t="shared" si="4"/>
        <v>0</v>
      </c>
      <c r="O20" s="34">
        <f t="shared" si="5"/>
        <v>0</v>
      </c>
      <c r="P20" s="35"/>
    </row>
    <row r="21" s="4" customFormat="1" ht="22" customHeight="1" spans="1:16">
      <c r="A21" s="25">
        <v>15</v>
      </c>
      <c r="B21" s="337">
        <v>46002</v>
      </c>
      <c r="C21" s="40" t="s">
        <v>878</v>
      </c>
      <c r="D21" s="37">
        <v>10</v>
      </c>
      <c r="E21" s="37"/>
      <c r="F21" s="25">
        <f t="shared" si="0"/>
        <v>10</v>
      </c>
      <c r="G21" s="37"/>
      <c r="H21" s="42">
        <v>96000</v>
      </c>
      <c r="I21" s="30">
        <f t="shared" si="1"/>
        <v>0</v>
      </c>
      <c r="J21" s="37"/>
      <c r="K21" s="42">
        <v>120000</v>
      </c>
      <c r="L21" s="32">
        <f t="shared" si="2"/>
        <v>0</v>
      </c>
      <c r="M21" s="34">
        <f t="shared" si="3"/>
        <v>0</v>
      </c>
      <c r="N21" s="34">
        <f t="shared" si="4"/>
        <v>0</v>
      </c>
      <c r="O21" s="34">
        <f t="shared" si="5"/>
        <v>0</v>
      </c>
      <c r="P21" s="35"/>
    </row>
    <row r="22" s="4" customFormat="1" ht="22" customHeight="1" spans="1:16">
      <c r="A22" s="25">
        <v>16</v>
      </c>
      <c r="B22" s="337">
        <v>46002</v>
      </c>
      <c r="C22" s="40" t="s">
        <v>879</v>
      </c>
      <c r="D22" s="37">
        <v>10</v>
      </c>
      <c r="E22" s="37"/>
      <c r="F22" s="25">
        <f t="shared" si="0"/>
        <v>10</v>
      </c>
      <c r="G22" s="37"/>
      <c r="H22" s="39">
        <v>77500</v>
      </c>
      <c r="I22" s="30">
        <f t="shared" si="1"/>
        <v>0</v>
      </c>
      <c r="J22" s="37"/>
      <c r="K22" s="39">
        <v>100000</v>
      </c>
      <c r="L22" s="32">
        <f t="shared" si="2"/>
        <v>0</v>
      </c>
      <c r="M22" s="34">
        <f t="shared" si="3"/>
        <v>0</v>
      </c>
      <c r="N22" s="34">
        <f t="shared" si="4"/>
        <v>0</v>
      </c>
      <c r="O22" s="34">
        <f t="shared" si="5"/>
        <v>0</v>
      </c>
      <c r="P22" s="35"/>
    </row>
    <row r="23" s="4" customFormat="1" ht="22" customHeight="1" spans="1:16">
      <c r="A23" s="25">
        <v>17</v>
      </c>
      <c r="B23" s="337">
        <v>46002</v>
      </c>
      <c r="C23" s="40" t="s">
        <v>880</v>
      </c>
      <c r="D23" s="37">
        <v>9</v>
      </c>
      <c r="E23" s="49"/>
      <c r="F23" s="25">
        <f t="shared" si="0"/>
        <v>9</v>
      </c>
      <c r="G23" s="49"/>
      <c r="H23" s="51">
        <v>79000</v>
      </c>
      <c r="I23" s="30">
        <f t="shared" si="1"/>
        <v>0</v>
      </c>
      <c r="J23" s="49"/>
      <c r="K23" s="51">
        <v>115000</v>
      </c>
      <c r="L23" s="32">
        <f t="shared" si="2"/>
        <v>0</v>
      </c>
      <c r="M23" s="34">
        <f t="shared" si="3"/>
        <v>0</v>
      </c>
      <c r="N23" s="34">
        <f t="shared" si="4"/>
        <v>0</v>
      </c>
      <c r="O23" s="34">
        <f t="shared" si="5"/>
        <v>0</v>
      </c>
      <c r="P23" s="35"/>
    </row>
    <row r="24" s="4" customFormat="1" ht="22" customHeight="1" spans="1:16">
      <c r="A24" s="25">
        <v>18</v>
      </c>
      <c r="B24" s="337">
        <v>46002</v>
      </c>
      <c r="C24" s="48" t="s">
        <v>881</v>
      </c>
      <c r="D24" s="49">
        <v>16</v>
      </c>
      <c r="E24" s="49"/>
      <c r="F24" s="25">
        <f t="shared" si="0"/>
        <v>16</v>
      </c>
      <c r="G24" s="49"/>
      <c r="H24" s="51">
        <v>10000</v>
      </c>
      <c r="I24" s="30">
        <f t="shared" si="1"/>
        <v>0</v>
      </c>
      <c r="J24" s="49"/>
      <c r="K24" s="51">
        <v>15000</v>
      </c>
      <c r="L24" s="32">
        <f t="shared" si="2"/>
        <v>0</v>
      </c>
      <c r="M24" s="34">
        <f t="shared" si="3"/>
        <v>0</v>
      </c>
      <c r="N24" s="34">
        <f t="shared" si="4"/>
        <v>0</v>
      </c>
      <c r="O24" s="34">
        <f t="shared" si="5"/>
        <v>0</v>
      </c>
      <c r="P24" s="35"/>
    </row>
    <row r="25" s="4" customFormat="1" ht="22" customHeight="1" spans="1:16">
      <c r="A25" s="25">
        <v>19</v>
      </c>
      <c r="B25" s="337">
        <v>46002</v>
      </c>
      <c r="C25" s="40" t="s">
        <v>882</v>
      </c>
      <c r="D25" s="37">
        <v>19</v>
      </c>
      <c r="E25" s="37"/>
      <c r="F25" s="25">
        <f t="shared" si="0"/>
        <v>19</v>
      </c>
      <c r="G25" s="37"/>
      <c r="H25" s="39">
        <v>10000</v>
      </c>
      <c r="I25" s="30">
        <f t="shared" si="1"/>
        <v>0</v>
      </c>
      <c r="J25" s="37"/>
      <c r="K25" s="39">
        <v>15000</v>
      </c>
      <c r="L25" s="32">
        <f t="shared" si="2"/>
        <v>0</v>
      </c>
      <c r="M25" s="34">
        <f t="shared" si="3"/>
        <v>0</v>
      </c>
      <c r="N25" s="34">
        <f t="shared" si="4"/>
        <v>0</v>
      </c>
      <c r="O25" s="34">
        <f t="shared" si="5"/>
        <v>0</v>
      </c>
      <c r="P25" s="35"/>
    </row>
    <row r="26" s="4" customFormat="1" ht="22" customHeight="1" spans="1:16">
      <c r="A26" s="25">
        <v>20</v>
      </c>
      <c r="B26" s="337">
        <v>46002</v>
      </c>
      <c r="C26" s="48" t="s">
        <v>883</v>
      </c>
      <c r="D26" s="37">
        <v>19</v>
      </c>
      <c r="E26" s="37"/>
      <c r="F26" s="25">
        <f t="shared" si="0"/>
        <v>19</v>
      </c>
      <c r="G26" s="37"/>
      <c r="H26" s="51">
        <v>10000</v>
      </c>
      <c r="I26" s="30">
        <f t="shared" si="1"/>
        <v>0</v>
      </c>
      <c r="J26" s="37"/>
      <c r="K26" s="39">
        <v>15000</v>
      </c>
      <c r="L26" s="32">
        <f t="shared" si="2"/>
        <v>0</v>
      </c>
      <c r="M26" s="34">
        <f t="shared" si="3"/>
        <v>0</v>
      </c>
      <c r="N26" s="34">
        <f t="shared" si="4"/>
        <v>0</v>
      </c>
      <c r="O26" s="34">
        <f t="shared" si="5"/>
        <v>0</v>
      </c>
      <c r="P26" s="35"/>
    </row>
    <row r="27" s="4" customFormat="1" ht="22" customHeight="1" spans="1:16">
      <c r="A27" s="25">
        <v>21</v>
      </c>
      <c r="B27" s="337">
        <v>46002</v>
      </c>
      <c r="C27" s="48" t="s">
        <v>884</v>
      </c>
      <c r="D27" s="37">
        <v>20</v>
      </c>
      <c r="E27" s="49">
        <v>1</v>
      </c>
      <c r="F27" s="25">
        <f t="shared" si="0"/>
        <v>19</v>
      </c>
      <c r="G27" s="49"/>
      <c r="H27" s="51">
        <v>10000</v>
      </c>
      <c r="I27" s="30">
        <f t="shared" si="1"/>
        <v>10000</v>
      </c>
      <c r="J27" s="49">
        <v>1</v>
      </c>
      <c r="K27" s="51">
        <v>15000</v>
      </c>
      <c r="L27" s="32">
        <f t="shared" si="2"/>
        <v>15000</v>
      </c>
      <c r="M27" s="34">
        <f t="shared" si="3"/>
        <v>5000</v>
      </c>
      <c r="N27" s="34">
        <f t="shared" si="4"/>
        <v>3500</v>
      </c>
      <c r="O27" s="34">
        <f t="shared" si="5"/>
        <v>1500</v>
      </c>
      <c r="P27" s="35"/>
    </row>
    <row r="28" s="4" customFormat="1" ht="22" customHeight="1" spans="1:16">
      <c r="A28" s="25">
        <v>22</v>
      </c>
      <c r="B28" s="337">
        <v>46002</v>
      </c>
      <c r="C28" s="48" t="s">
        <v>885</v>
      </c>
      <c r="D28" s="37">
        <v>19</v>
      </c>
      <c r="E28" s="49"/>
      <c r="F28" s="25">
        <f t="shared" si="0"/>
        <v>19</v>
      </c>
      <c r="G28" s="49"/>
      <c r="H28" s="51">
        <v>10000</v>
      </c>
      <c r="I28" s="30">
        <f t="shared" si="1"/>
        <v>0</v>
      </c>
      <c r="J28" s="49"/>
      <c r="K28" s="51">
        <v>15000</v>
      </c>
      <c r="L28" s="32">
        <f t="shared" si="2"/>
        <v>0</v>
      </c>
      <c r="M28" s="34">
        <f t="shared" si="3"/>
        <v>0</v>
      </c>
      <c r="N28" s="34">
        <f t="shared" si="4"/>
        <v>0</v>
      </c>
      <c r="O28" s="34">
        <f t="shared" si="5"/>
        <v>0</v>
      </c>
      <c r="P28" s="35"/>
    </row>
    <row r="29" s="4" customFormat="1" ht="22" customHeight="1" spans="1:16">
      <c r="A29" s="25">
        <v>23</v>
      </c>
      <c r="B29" s="337">
        <v>46002</v>
      </c>
      <c r="C29" s="48" t="s">
        <v>886</v>
      </c>
      <c r="D29" s="37">
        <v>17</v>
      </c>
      <c r="E29" s="49"/>
      <c r="F29" s="25">
        <f t="shared" si="0"/>
        <v>17</v>
      </c>
      <c r="G29" s="49"/>
      <c r="H29" s="51">
        <v>25000</v>
      </c>
      <c r="I29" s="30">
        <f t="shared" si="1"/>
        <v>0</v>
      </c>
      <c r="J29" s="49"/>
      <c r="K29" s="51">
        <v>37000</v>
      </c>
      <c r="L29" s="32">
        <f t="shared" si="2"/>
        <v>0</v>
      </c>
      <c r="M29" s="34">
        <f t="shared" si="3"/>
        <v>0</v>
      </c>
      <c r="N29" s="34">
        <f t="shared" si="4"/>
        <v>0</v>
      </c>
      <c r="O29" s="34">
        <f t="shared" si="5"/>
        <v>0</v>
      </c>
      <c r="P29" s="35"/>
    </row>
    <row r="30" s="4" customFormat="1" ht="22" customHeight="1" spans="1:16">
      <c r="A30" s="25">
        <v>24</v>
      </c>
      <c r="B30" s="337">
        <v>46002</v>
      </c>
      <c r="C30" s="48" t="s">
        <v>887</v>
      </c>
      <c r="D30" s="37">
        <v>18</v>
      </c>
      <c r="E30" s="49"/>
      <c r="F30" s="25">
        <f t="shared" si="0"/>
        <v>18</v>
      </c>
      <c r="G30" s="49"/>
      <c r="H30" s="51">
        <v>10000</v>
      </c>
      <c r="I30" s="30">
        <f t="shared" si="1"/>
        <v>0</v>
      </c>
      <c r="J30" s="49"/>
      <c r="K30" s="51">
        <v>15000</v>
      </c>
      <c r="L30" s="32">
        <f t="shared" si="2"/>
        <v>0</v>
      </c>
      <c r="M30" s="34">
        <f t="shared" si="3"/>
        <v>0</v>
      </c>
      <c r="N30" s="34">
        <f t="shared" si="4"/>
        <v>0</v>
      </c>
      <c r="O30" s="34">
        <f t="shared" si="5"/>
        <v>0</v>
      </c>
      <c r="P30" s="35"/>
    </row>
    <row r="31" s="4" customFormat="1" ht="22" customHeight="1" spans="1:16">
      <c r="A31" s="25">
        <v>25</v>
      </c>
      <c r="B31" s="337">
        <v>46002</v>
      </c>
      <c r="C31" s="48" t="s">
        <v>888</v>
      </c>
      <c r="D31" s="37">
        <v>11</v>
      </c>
      <c r="E31" s="49"/>
      <c r="F31" s="25">
        <f t="shared" si="0"/>
        <v>11</v>
      </c>
      <c r="G31" s="49"/>
      <c r="H31" s="51">
        <v>25000</v>
      </c>
      <c r="I31" s="30">
        <f t="shared" si="1"/>
        <v>0</v>
      </c>
      <c r="J31" s="49"/>
      <c r="K31" s="51">
        <v>40000</v>
      </c>
      <c r="L31" s="32">
        <f t="shared" si="2"/>
        <v>0</v>
      </c>
      <c r="M31" s="34">
        <f t="shared" si="3"/>
        <v>0</v>
      </c>
      <c r="N31" s="34">
        <f t="shared" si="4"/>
        <v>0</v>
      </c>
      <c r="O31" s="34">
        <f t="shared" si="5"/>
        <v>0</v>
      </c>
      <c r="P31" s="35"/>
    </row>
    <row r="32" s="4" customFormat="1" ht="22" customHeight="1" spans="1:16">
      <c r="A32" s="25">
        <v>26</v>
      </c>
      <c r="B32" s="337">
        <v>46002</v>
      </c>
      <c r="C32" s="48" t="s">
        <v>889</v>
      </c>
      <c r="D32" s="37">
        <v>19</v>
      </c>
      <c r="E32" s="49"/>
      <c r="F32" s="25">
        <f t="shared" si="0"/>
        <v>19</v>
      </c>
      <c r="G32" s="49"/>
      <c r="H32" s="51">
        <v>10000</v>
      </c>
      <c r="I32" s="30">
        <f t="shared" si="1"/>
        <v>0</v>
      </c>
      <c r="J32" s="49"/>
      <c r="K32" s="51">
        <v>15000</v>
      </c>
      <c r="L32" s="32">
        <f t="shared" si="2"/>
        <v>0</v>
      </c>
      <c r="M32" s="34">
        <f t="shared" si="3"/>
        <v>0</v>
      </c>
      <c r="N32" s="34">
        <f t="shared" si="4"/>
        <v>0</v>
      </c>
      <c r="O32" s="34">
        <f t="shared" si="5"/>
        <v>0</v>
      </c>
      <c r="P32" s="35"/>
    </row>
    <row r="33" s="4" customFormat="1" ht="22" customHeight="1" spans="1:16">
      <c r="A33" s="25">
        <v>27</v>
      </c>
      <c r="B33" s="337">
        <v>46002</v>
      </c>
      <c r="C33" s="48" t="s">
        <v>890</v>
      </c>
      <c r="D33" s="49">
        <v>5</v>
      </c>
      <c r="E33" s="49"/>
      <c r="F33" s="25">
        <f t="shared" si="0"/>
        <v>5</v>
      </c>
      <c r="G33" s="49"/>
      <c r="H33" s="51">
        <v>12000</v>
      </c>
      <c r="I33" s="30">
        <f t="shared" si="1"/>
        <v>0</v>
      </c>
      <c r="J33" s="49"/>
      <c r="K33" s="51">
        <v>17000</v>
      </c>
      <c r="L33" s="32">
        <f t="shared" si="2"/>
        <v>0</v>
      </c>
      <c r="M33" s="34">
        <f t="shared" si="3"/>
        <v>0</v>
      </c>
      <c r="N33" s="34">
        <f t="shared" si="4"/>
        <v>0</v>
      </c>
      <c r="O33" s="34">
        <f t="shared" si="5"/>
        <v>0</v>
      </c>
      <c r="P33" s="35"/>
    </row>
    <row r="34" s="4" customFormat="1" ht="22" customHeight="1" spans="1:16">
      <c r="A34" s="25">
        <v>28</v>
      </c>
      <c r="B34" s="337">
        <v>46002</v>
      </c>
      <c r="C34" s="48" t="s">
        <v>891</v>
      </c>
      <c r="D34" s="49">
        <v>6</v>
      </c>
      <c r="E34" s="49"/>
      <c r="F34" s="25">
        <f t="shared" si="0"/>
        <v>6</v>
      </c>
      <c r="G34" s="49"/>
      <c r="H34" s="51">
        <v>12000</v>
      </c>
      <c r="I34" s="30">
        <f t="shared" si="1"/>
        <v>0</v>
      </c>
      <c r="J34" s="49"/>
      <c r="K34" s="51">
        <v>17000</v>
      </c>
      <c r="L34" s="32">
        <f t="shared" si="2"/>
        <v>0</v>
      </c>
      <c r="M34" s="34">
        <f t="shared" si="3"/>
        <v>0</v>
      </c>
      <c r="N34" s="34">
        <f t="shared" si="4"/>
        <v>0</v>
      </c>
      <c r="O34" s="34">
        <f t="shared" si="5"/>
        <v>0</v>
      </c>
      <c r="P34" s="35"/>
    </row>
    <row r="35" s="4" customFormat="1" ht="22" customHeight="1" spans="1:16">
      <c r="A35" s="25">
        <v>29</v>
      </c>
      <c r="B35" s="337">
        <v>46002</v>
      </c>
      <c r="C35" s="48" t="s">
        <v>892</v>
      </c>
      <c r="D35" s="49">
        <v>6</v>
      </c>
      <c r="E35" s="49"/>
      <c r="F35" s="25">
        <f t="shared" si="0"/>
        <v>6</v>
      </c>
      <c r="G35" s="49"/>
      <c r="H35" s="51">
        <v>12000</v>
      </c>
      <c r="I35" s="30">
        <f t="shared" si="1"/>
        <v>0</v>
      </c>
      <c r="J35" s="49"/>
      <c r="K35" s="51">
        <v>17000</v>
      </c>
      <c r="L35" s="32">
        <f t="shared" si="2"/>
        <v>0</v>
      </c>
      <c r="M35" s="34">
        <f t="shared" si="3"/>
        <v>0</v>
      </c>
      <c r="N35" s="34">
        <f t="shared" si="4"/>
        <v>0</v>
      </c>
      <c r="O35" s="34">
        <f t="shared" si="5"/>
        <v>0</v>
      </c>
      <c r="P35" s="35"/>
    </row>
    <row r="36" s="4" customFormat="1" ht="22" customHeight="1" spans="1:16">
      <c r="A36" s="25">
        <v>30</v>
      </c>
      <c r="B36" s="337">
        <v>46002</v>
      </c>
      <c r="C36" s="48" t="s">
        <v>893</v>
      </c>
      <c r="D36" s="49">
        <v>43</v>
      </c>
      <c r="E36" s="49">
        <v>1</v>
      </c>
      <c r="F36" s="25">
        <f t="shared" si="0"/>
        <v>42</v>
      </c>
      <c r="G36" s="49"/>
      <c r="H36" s="51">
        <v>30000</v>
      </c>
      <c r="I36" s="30">
        <f t="shared" si="1"/>
        <v>30000</v>
      </c>
      <c r="J36" s="49">
        <v>1</v>
      </c>
      <c r="K36" s="51">
        <v>35000</v>
      </c>
      <c r="L36" s="32">
        <f t="shared" si="2"/>
        <v>35000</v>
      </c>
      <c r="M36" s="34">
        <f t="shared" si="3"/>
        <v>5000</v>
      </c>
      <c r="N36" s="34">
        <f t="shared" si="4"/>
        <v>3500</v>
      </c>
      <c r="O36" s="34">
        <f t="shared" si="5"/>
        <v>1500</v>
      </c>
      <c r="P36" s="35"/>
    </row>
    <row r="37" ht="22" customHeight="1" spans="1:16">
      <c r="A37" s="25">
        <v>31</v>
      </c>
      <c r="B37" s="337">
        <v>46002</v>
      </c>
      <c r="C37" s="338" t="s">
        <v>894</v>
      </c>
      <c r="D37" s="37">
        <v>46</v>
      </c>
      <c r="E37" s="49"/>
      <c r="F37" s="25">
        <f t="shared" si="0"/>
        <v>46</v>
      </c>
      <c r="G37" s="49"/>
      <c r="H37" s="51">
        <v>30000</v>
      </c>
      <c r="I37" s="30">
        <f t="shared" si="1"/>
        <v>0</v>
      </c>
      <c r="J37" s="49"/>
      <c r="K37" s="51">
        <v>35000</v>
      </c>
      <c r="L37" s="32">
        <f t="shared" si="2"/>
        <v>0</v>
      </c>
      <c r="M37" s="34">
        <f t="shared" si="3"/>
        <v>0</v>
      </c>
      <c r="N37" s="34">
        <f t="shared" si="4"/>
        <v>0</v>
      </c>
      <c r="O37" s="34">
        <f t="shared" si="5"/>
        <v>0</v>
      </c>
    </row>
    <row r="38" ht="22" customHeight="1" spans="1:16">
      <c r="A38" s="25">
        <v>32</v>
      </c>
      <c r="B38" s="337">
        <v>46002</v>
      </c>
      <c r="C38" s="338" t="s">
        <v>895</v>
      </c>
      <c r="D38" s="37">
        <v>22</v>
      </c>
      <c r="E38" s="49">
        <v>4</v>
      </c>
      <c r="F38" s="25">
        <f t="shared" si="0"/>
        <v>18</v>
      </c>
      <c r="G38" s="49"/>
      <c r="H38" s="51">
        <v>30000</v>
      </c>
      <c r="I38" s="30">
        <f t="shared" si="1"/>
        <v>120000</v>
      </c>
      <c r="J38" s="49">
        <v>4</v>
      </c>
      <c r="K38" s="51">
        <v>35000</v>
      </c>
      <c r="L38" s="32">
        <f t="shared" si="2"/>
        <v>140000</v>
      </c>
      <c r="M38" s="34">
        <f t="shared" si="3"/>
        <v>20000</v>
      </c>
      <c r="N38" s="34">
        <f t="shared" si="4"/>
        <v>14000</v>
      </c>
      <c r="O38" s="34">
        <f t="shared" si="5"/>
        <v>6000</v>
      </c>
    </row>
    <row r="39" ht="22" customHeight="1" spans="1:16">
      <c r="A39" s="25">
        <v>33</v>
      </c>
      <c r="B39" s="337">
        <v>46002</v>
      </c>
      <c r="C39" s="338" t="s">
        <v>896</v>
      </c>
      <c r="D39" s="37">
        <v>47</v>
      </c>
      <c r="E39" s="49"/>
      <c r="F39" s="25">
        <f t="shared" si="0"/>
        <v>47</v>
      </c>
      <c r="G39" s="49"/>
      <c r="H39" s="51">
        <v>35000</v>
      </c>
      <c r="I39" s="30">
        <f t="shared" si="1"/>
        <v>0</v>
      </c>
      <c r="J39" s="49"/>
      <c r="K39" s="51">
        <v>40000</v>
      </c>
      <c r="L39" s="32">
        <f t="shared" si="2"/>
        <v>0</v>
      </c>
      <c r="M39" s="34">
        <f t="shared" si="3"/>
        <v>0</v>
      </c>
      <c r="N39" s="34">
        <f t="shared" si="4"/>
        <v>0</v>
      </c>
      <c r="O39" s="34">
        <f t="shared" si="5"/>
        <v>0</v>
      </c>
    </row>
    <row r="40" ht="22" customHeight="1" spans="1:16">
      <c r="A40" s="25">
        <v>34</v>
      </c>
      <c r="B40" s="337">
        <v>46002</v>
      </c>
      <c r="C40" s="338" t="s">
        <v>897</v>
      </c>
      <c r="D40" s="37">
        <v>46</v>
      </c>
      <c r="E40" s="49"/>
      <c r="F40" s="25">
        <f t="shared" si="0"/>
        <v>46</v>
      </c>
      <c r="G40" s="49"/>
      <c r="H40" s="51">
        <v>41000</v>
      </c>
      <c r="I40" s="30">
        <f t="shared" si="1"/>
        <v>0</v>
      </c>
      <c r="J40" s="49"/>
      <c r="K40" s="51">
        <v>46000</v>
      </c>
      <c r="L40" s="32">
        <f t="shared" si="2"/>
        <v>0</v>
      </c>
      <c r="M40" s="34">
        <f t="shared" si="3"/>
        <v>0</v>
      </c>
      <c r="N40" s="34">
        <f t="shared" si="4"/>
        <v>0</v>
      </c>
      <c r="O40" s="34">
        <f t="shared" si="5"/>
        <v>0</v>
      </c>
    </row>
    <row r="41" ht="22" customHeight="1" spans="1:16">
      <c r="A41" s="25">
        <v>35</v>
      </c>
      <c r="B41" s="337">
        <v>46002</v>
      </c>
      <c r="C41" s="27" t="s">
        <v>898</v>
      </c>
      <c r="D41" s="37">
        <v>29</v>
      </c>
      <c r="E41" s="37"/>
      <c r="F41" s="25">
        <f t="shared" si="0"/>
        <v>29</v>
      </c>
      <c r="G41" s="37"/>
      <c r="H41" s="39">
        <v>2500</v>
      </c>
      <c r="I41" s="30">
        <f t="shared" si="1"/>
        <v>0</v>
      </c>
      <c r="J41" s="37"/>
      <c r="K41" s="39">
        <v>8000</v>
      </c>
      <c r="L41" s="32">
        <f t="shared" si="2"/>
        <v>0</v>
      </c>
      <c r="M41" s="34">
        <f t="shared" si="3"/>
        <v>0</v>
      </c>
      <c r="N41" s="34">
        <f t="shared" si="4"/>
        <v>0</v>
      </c>
      <c r="O41" s="34">
        <f t="shared" si="5"/>
        <v>0</v>
      </c>
    </row>
    <row r="42" ht="22" customHeight="1" spans="1:16">
      <c r="A42" s="25">
        <v>36</v>
      </c>
      <c r="B42" s="337">
        <v>46002</v>
      </c>
      <c r="C42" s="338" t="s">
        <v>899</v>
      </c>
      <c r="D42" s="37">
        <v>30</v>
      </c>
      <c r="E42" s="49"/>
      <c r="F42" s="25">
        <f t="shared" si="0"/>
        <v>30</v>
      </c>
      <c r="G42" s="49"/>
      <c r="H42" s="51">
        <v>2000</v>
      </c>
      <c r="I42" s="30">
        <f t="shared" si="1"/>
        <v>0</v>
      </c>
      <c r="J42" s="49"/>
      <c r="K42" s="51">
        <v>8000</v>
      </c>
      <c r="L42" s="32">
        <f t="shared" si="2"/>
        <v>0</v>
      </c>
      <c r="M42" s="34">
        <f t="shared" si="3"/>
        <v>0</v>
      </c>
      <c r="N42" s="34">
        <f t="shared" si="4"/>
        <v>0</v>
      </c>
      <c r="O42" s="34">
        <f t="shared" si="5"/>
        <v>0</v>
      </c>
    </row>
    <row r="43" ht="22" customHeight="1" spans="1:16">
      <c r="A43" s="25">
        <v>37</v>
      </c>
      <c r="B43" s="337">
        <v>46002</v>
      </c>
      <c r="C43" s="338" t="s">
        <v>900</v>
      </c>
      <c r="D43" s="49">
        <v>32</v>
      </c>
      <c r="E43" s="49"/>
      <c r="F43" s="25">
        <f t="shared" si="0"/>
        <v>32</v>
      </c>
      <c r="G43" s="49"/>
      <c r="H43" s="51">
        <v>62500</v>
      </c>
      <c r="I43" s="30">
        <f t="shared" si="1"/>
        <v>0</v>
      </c>
      <c r="J43" s="49"/>
      <c r="K43" s="51">
        <v>70000</v>
      </c>
      <c r="L43" s="32">
        <f t="shared" si="2"/>
        <v>0</v>
      </c>
      <c r="M43" s="34">
        <f t="shared" si="3"/>
        <v>0</v>
      </c>
      <c r="N43" s="34">
        <f t="shared" si="4"/>
        <v>0</v>
      </c>
      <c r="O43" s="34">
        <f t="shared" si="5"/>
        <v>0</v>
      </c>
    </row>
    <row r="44" ht="22" customHeight="1" spans="1:16">
      <c r="A44" s="25">
        <v>38</v>
      </c>
      <c r="B44" s="337">
        <v>46002</v>
      </c>
      <c r="C44" s="338" t="s">
        <v>901</v>
      </c>
      <c r="D44" s="49">
        <v>38</v>
      </c>
      <c r="E44" s="49">
        <v>1</v>
      </c>
      <c r="F44" s="25">
        <f t="shared" si="0"/>
        <v>37</v>
      </c>
      <c r="G44" s="49"/>
      <c r="H44" s="51">
        <v>52500</v>
      </c>
      <c r="I44" s="30">
        <f t="shared" si="1"/>
        <v>52500</v>
      </c>
      <c r="J44" s="49">
        <v>1</v>
      </c>
      <c r="K44" s="51">
        <v>60000</v>
      </c>
      <c r="L44" s="32">
        <f t="shared" si="2"/>
        <v>60000</v>
      </c>
      <c r="M44" s="34">
        <f t="shared" si="3"/>
        <v>7500</v>
      </c>
      <c r="N44" s="34">
        <f t="shared" si="4"/>
        <v>5250</v>
      </c>
      <c r="O44" s="34">
        <f t="shared" si="5"/>
        <v>2250</v>
      </c>
    </row>
    <row r="45" ht="22" customHeight="1" spans="1:16">
      <c r="A45" s="25">
        <v>39</v>
      </c>
      <c r="B45" s="337">
        <v>46002</v>
      </c>
      <c r="C45" s="338" t="s">
        <v>902</v>
      </c>
      <c r="D45" s="49">
        <v>9</v>
      </c>
      <c r="E45" s="49">
        <v>1</v>
      </c>
      <c r="F45" s="25">
        <f t="shared" si="0"/>
        <v>8</v>
      </c>
      <c r="G45" s="49"/>
      <c r="H45" s="51">
        <v>55000</v>
      </c>
      <c r="I45" s="30">
        <f t="shared" si="1"/>
        <v>55000</v>
      </c>
      <c r="J45" s="49">
        <v>1</v>
      </c>
      <c r="K45" s="51">
        <v>60000</v>
      </c>
      <c r="L45" s="32">
        <f t="shared" si="2"/>
        <v>60000</v>
      </c>
      <c r="M45" s="34">
        <f t="shared" si="3"/>
        <v>5000</v>
      </c>
      <c r="N45" s="34">
        <f t="shared" si="4"/>
        <v>3500</v>
      </c>
      <c r="O45" s="34">
        <f t="shared" si="5"/>
        <v>1500</v>
      </c>
    </row>
    <row r="46" ht="22" customHeight="1" spans="1:16">
      <c r="A46" s="25">
        <v>40</v>
      </c>
      <c r="B46" s="337">
        <v>46002</v>
      </c>
      <c r="C46" s="338" t="s">
        <v>903</v>
      </c>
      <c r="D46" s="49">
        <v>32</v>
      </c>
      <c r="E46" s="49"/>
      <c r="F46" s="25">
        <f t="shared" si="0"/>
        <v>32</v>
      </c>
      <c r="G46" s="49"/>
      <c r="H46" s="51">
        <v>42000</v>
      </c>
      <c r="I46" s="30">
        <f t="shared" si="1"/>
        <v>0</v>
      </c>
      <c r="J46" s="49"/>
      <c r="K46" s="51">
        <v>55000</v>
      </c>
      <c r="L46" s="32">
        <f t="shared" si="2"/>
        <v>0</v>
      </c>
      <c r="M46" s="34">
        <f t="shared" si="3"/>
        <v>0</v>
      </c>
      <c r="N46" s="34">
        <f t="shared" si="4"/>
        <v>0</v>
      </c>
      <c r="O46" s="34">
        <f t="shared" si="5"/>
        <v>0</v>
      </c>
    </row>
    <row r="47" ht="22" customHeight="1" spans="1:16">
      <c r="A47" s="25">
        <v>41</v>
      </c>
      <c r="B47" s="337">
        <v>46002</v>
      </c>
      <c r="C47" s="338" t="s">
        <v>904</v>
      </c>
      <c r="D47" s="37">
        <v>12</v>
      </c>
      <c r="E47" s="49"/>
      <c r="F47" s="25">
        <f t="shared" si="0"/>
        <v>12</v>
      </c>
      <c r="G47" s="49"/>
      <c r="H47" s="51">
        <v>52000</v>
      </c>
      <c r="I47" s="30">
        <f t="shared" si="1"/>
        <v>0</v>
      </c>
      <c r="J47" s="49"/>
      <c r="K47" s="51">
        <v>59000</v>
      </c>
      <c r="L47" s="32">
        <f t="shared" si="2"/>
        <v>0</v>
      </c>
      <c r="M47" s="34">
        <f t="shared" si="3"/>
        <v>0</v>
      </c>
      <c r="N47" s="34">
        <f t="shared" si="4"/>
        <v>0</v>
      </c>
      <c r="O47" s="34">
        <f t="shared" si="5"/>
        <v>0</v>
      </c>
    </row>
    <row r="48" ht="22" customHeight="1" spans="1:16">
      <c r="A48" s="25">
        <v>42</v>
      </c>
      <c r="B48" s="337">
        <v>46002</v>
      </c>
      <c r="C48" s="338" t="s">
        <v>905</v>
      </c>
      <c r="D48" s="37">
        <v>1</v>
      </c>
      <c r="E48" s="49"/>
      <c r="F48" s="25">
        <f t="shared" si="0"/>
        <v>1</v>
      </c>
      <c r="G48" s="49"/>
      <c r="H48" s="51">
        <v>62000</v>
      </c>
      <c r="I48" s="30">
        <f t="shared" si="1"/>
        <v>0</v>
      </c>
      <c r="J48" s="49"/>
      <c r="K48" s="51">
        <v>80000</v>
      </c>
      <c r="L48" s="32">
        <f t="shared" si="2"/>
        <v>0</v>
      </c>
      <c r="M48" s="34">
        <f t="shared" si="3"/>
        <v>0</v>
      </c>
      <c r="N48" s="34">
        <f t="shared" si="4"/>
        <v>0</v>
      </c>
      <c r="O48" s="34">
        <f t="shared" si="5"/>
        <v>0</v>
      </c>
    </row>
    <row r="49" ht="22" customHeight="1" spans="1:15">
      <c r="A49" s="25">
        <v>43</v>
      </c>
      <c r="B49" s="337">
        <v>46002</v>
      </c>
      <c r="C49" s="27" t="s">
        <v>906</v>
      </c>
      <c r="D49" s="37">
        <v>11</v>
      </c>
      <c r="E49" s="37"/>
      <c r="F49" s="25">
        <f t="shared" si="0"/>
        <v>11</v>
      </c>
      <c r="G49" s="37"/>
      <c r="H49" s="39">
        <v>51000</v>
      </c>
      <c r="I49" s="30">
        <f t="shared" si="1"/>
        <v>0</v>
      </c>
      <c r="J49" s="37"/>
      <c r="K49" s="39">
        <v>50000</v>
      </c>
      <c r="L49" s="32">
        <f t="shared" si="2"/>
        <v>0</v>
      </c>
      <c r="M49" s="34">
        <f t="shared" si="3"/>
        <v>0</v>
      </c>
      <c r="N49" s="34">
        <f t="shared" si="4"/>
        <v>0</v>
      </c>
      <c r="O49" s="34">
        <f t="shared" si="5"/>
        <v>0</v>
      </c>
    </row>
    <row r="50" ht="22" customHeight="1" spans="1:15">
      <c r="A50" s="25">
        <v>44</v>
      </c>
      <c r="B50" s="337">
        <v>46002</v>
      </c>
      <c r="C50" s="338" t="s">
        <v>907</v>
      </c>
      <c r="D50" s="37">
        <v>14</v>
      </c>
      <c r="E50" s="49">
        <v>2</v>
      </c>
      <c r="F50" s="25">
        <f t="shared" si="0"/>
        <v>12</v>
      </c>
      <c r="G50" s="49"/>
      <c r="H50" s="51">
        <v>45000</v>
      </c>
      <c r="I50" s="30">
        <f t="shared" si="1"/>
        <v>90000</v>
      </c>
      <c r="J50" s="49">
        <v>2</v>
      </c>
      <c r="K50" s="51">
        <v>70000</v>
      </c>
      <c r="L50" s="32">
        <f t="shared" si="2"/>
        <v>140000</v>
      </c>
      <c r="M50" s="34">
        <f t="shared" si="3"/>
        <v>50000</v>
      </c>
      <c r="N50" s="34">
        <f t="shared" si="4"/>
        <v>35000</v>
      </c>
      <c r="O50" s="34">
        <f t="shared" si="5"/>
        <v>15000</v>
      </c>
    </row>
    <row r="51" ht="22" customHeight="1" spans="1:15">
      <c r="A51" s="25">
        <v>45</v>
      </c>
      <c r="B51" s="337">
        <v>46002</v>
      </c>
      <c r="C51" s="338" t="s">
        <v>908</v>
      </c>
      <c r="D51" s="37">
        <v>5</v>
      </c>
      <c r="E51" s="49">
        <v>1</v>
      </c>
      <c r="F51" s="25">
        <f t="shared" si="0"/>
        <v>4</v>
      </c>
      <c r="G51" s="49"/>
      <c r="H51" s="51">
        <v>55000</v>
      </c>
      <c r="I51" s="30">
        <f t="shared" si="1"/>
        <v>55000</v>
      </c>
      <c r="J51" s="49">
        <v>1</v>
      </c>
      <c r="K51" s="51">
        <v>70000</v>
      </c>
      <c r="L51" s="32">
        <f t="shared" si="2"/>
        <v>70000</v>
      </c>
      <c r="M51" s="34">
        <f t="shared" si="3"/>
        <v>15000</v>
      </c>
      <c r="N51" s="34">
        <f t="shared" si="4"/>
        <v>10500</v>
      </c>
      <c r="O51" s="34">
        <f t="shared" si="5"/>
        <v>4500</v>
      </c>
    </row>
    <row r="52" ht="22" customHeight="1" spans="1:15">
      <c r="A52" s="25">
        <v>46</v>
      </c>
      <c r="B52" s="337">
        <v>46002</v>
      </c>
      <c r="C52" s="338" t="s">
        <v>909</v>
      </c>
      <c r="D52" s="37">
        <v>10</v>
      </c>
      <c r="E52" s="49"/>
      <c r="F52" s="25">
        <f t="shared" si="0"/>
        <v>10</v>
      </c>
      <c r="G52" s="49"/>
      <c r="H52" s="51">
        <v>142000</v>
      </c>
      <c r="I52" s="30">
        <f t="shared" si="1"/>
        <v>0</v>
      </c>
      <c r="J52" s="49"/>
      <c r="K52" s="51">
        <v>160000</v>
      </c>
      <c r="L52" s="32">
        <f t="shared" si="2"/>
        <v>0</v>
      </c>
      <c r="M52" s="34">
        <f t="shared" si="3"/>
        <v>0</v>
      </c>
      <c r="N52" s="34">
        <f t="shared" si="4"/>
        <v>0</v>
      </c>
      <c r="O52" s="34">
        <f t="shared" si="5"/>
        <v>0</v>
      </c>
    </row>
    <row r="53" ht="22" customHeight="1" spans="1:15">
      <c r="A53" s="25">
        <v>47</v>
      </c>
      <c r="B53" s="337">
        <v>46002</v>
      </c>
      <c r="C53" s="338" t="s">
        <v>910</v>
      </c>
      <c r="D53" s="49">
        <v>2</v>
      </c>
      <c r="E53" s="49">
        <v>2</v>
      </c>
      <c r="F53" s="25">
        <f t="shared" si="0"/>
        <v>0</v>
      </c>
      <c r="G53" s="49"/>
      <c r="H53" s="51">
        <v>41500</v>
      </c>
      <c r="I53" s="30">
        <f t="shared" si="1"/>
        <v>83000</v>
      </c>
      <c r="J53" s="49">
        <v>2</v>
      </c>
      <c r="K53" s="51">
        <v>70000</v>
      </c>
      <c r="L53" s="32">
        <f t="shared" si="2"/>
        <v>140000</v>
      </c>
      <c r="M53" s="34">
        <f t="shared" si="3"/>
        <v>57000</v>
      </c>
      <c r="N53" s="34">
        <f t="shared" si="4"/>
        <v>39900</v>
      </c>
      <c r="O53" s="34">
        <f t="shared" si="5"/>
        <v>17100</v>
      </c>
    </row>
    <row r="54" ht="22" customHeight="1" spans="1:15">
      <c r="A54" s="25">
        <v>48</v>
      </c>
      <c r="B54" s="337">
        <v>46002</v>
      </c>
      <c r="C54" s="338" t="s">
        <v>911</v>
      </c>
      <c r="D54" s="49">
        <v>7</v>
      </c>
      <c r="E54" s="49">
        <v>1</v>
      </c>
      <c r="F54" s="25">
        <f t="shared" si="0"/>
        <v>6</v>
      </c>
      <c r="G54" s="49"/>
      <c r="H54" s="51">
        <v>56500</v>
      </c>
      <c r="I54" s="30">
        <f t="shared" si="1"/>
        <v>56500</v>
      </c>
      <c r="J54" s="49">
        <v>1</v>
      </c>
      <c r="K54" s="51">
        <v>70000</v>
      </c>
      <c r="L54" s="32">
        <f t="shared" si="2"/>
        <v>70000</v>
      </c>
      <c r="M54" s="34">
        <f t="shared" si="3"/>
        <v>13500</v>
      </c>
      <c r="N54" s="34">
        <f t="shared" si="4"/>
        <v>9450</v>
      </c>
      <c r="O54" s="34">
        <f t="shared" si="5"/>
        <v>4050</v>
      </c>
    </row>
    <row r="55" ht="22" customHeight="1" spans="1:15">
      <c r="A55" s="25">
        <v>49</v>
      </c>
      <c r="B55" s="337">
        <v>46002</v>
      </c>
      <c r="C55" s="338" t="s">
        <v>912</v>
      </c>
      <c r="D55" s="49">
        <v>9</v>
      </c>
      <c r="E55" s="49">
        <v>1</v>
      </c>
      <c r="F55" s="25">
        <f t="shared" si="0"/>
        <v>8</v>
      </c>
      <c r="G55" s="49"/>
      <c r="H55" s="51">
        <v>41500</v>
      </c>
      <c r="I55" s="30">
        <f t="shared" si="1"/>
        <v>41500</v>
      </c>
      <c r="J55" s="49">
        <v>1</v>
      </c>
      <c r="K55" s="51">
        <v>50000</v>
      </c>
      <c r="L55" s="32">
        <f t="shared" si="2"/>
        <v>50000</v>
      </c>
      <c r="M55" s="34">
        <f t="shared" si="3"/>
        <v>8500</v>
      </c>
      <c r="N55" s="34">
        <f t="shared" si="4"/>
        <v>5950</v>
      </c>
      <c r="O55" s="34">
        <f t="shared" si="5"/>
        <v>2550</v>
      </c>
    </row>
    <row r="56" ht="22" customHeight="1" spans="1:15">
      <c r="A56" s="25">
        <v>50</v>
      </c>
      <c r="B56" s="337">
        <v>46002</v>
      </c>
      <c r="C56" s="338" t="s">
        <v>913</v>
      </c>
      <c r="D56" s="49">
        <v>23</v>
      </c>
      <c r="E56" s="49"/>
      <c r="F56" s="25">
        <f t="shared" si="0"/>
        <v>23</v>
      </c>
      <c r="G56" s="49"/>
      <c r="H56" s="51">
        <v>32500</v>
      </c>
      <c r="I56" s="30">
        <f t="shared" si="1"/>
        <v>0</v>
      </c>
      <c r="J56" s="49"/>
      <c r="K56" s="51">
        <v>38000</v>
      </c>
      <c r="L56" s="32">
        <f t="shared" si="2"/>
        <v>0</v>
      </c>
      <c r="M56" s="34">
        <f t="shared" si="3"/>
        <v>0</v>
      </c>
      <c r="N56" s="34">
        <f t="shared" si="4"/>
        <v>0</v>
      </c>
      <c r="O56" s="34">
        <f t="shared" si="5"/>
        <v>0</v>
      </c>
    </row>
    <row r="57" ht="22" customHeight="1" spans="1:15">
      <c r="A57" s="25">
        <v>51</v>
      </c>
      <c r="B57" s="337">
        <v>46002</v>
      </c>
      <c r="C57" s="338" t="s">
        <v>914</v>
      </c>
      <c r="D57" s="37">
        <v>23</v>
      </c>
      <c r="E57" s="49">
        <v>1</v>
      </c>
      <c r="F57" s="25">
        <f t="shared" si="0"/>
        <v>22</v>
      </c>
      <c r="G57" s="49"/>
      <c r="H57" s="51">
        <v>45500</v>
      </c>
      <c r="I57" s="30">
        <f t="shared" si="1"/>
        <v>45500</v>
      </c>
      <c r="J57" s="49">
        <v>1</v>
      </c>
      <c r="K57" s="51">
        <v>52000</v>
      </c>
      <c r="L57" s="32">
        <f t="shared" si="2"/>
        <v>52000</v>
      </c>
      <c r="M57" s="34">
        <f t="shared" si="3"/>
        <v>6500</v>
      </c>
      <c r="N57" s="34">
        <f t="shared" si="4"/>
        <v>4550</v>
      </c>
      <c r="O57" s="34">
        <f t="shared" si="5"/>
        <v>1950</v>
      </c>
    </row>
    <row r="58" ht="22" customHeight="1" spans="1:15">
      <c r="A58" s="25">
        <v>52</v>
      </c>
      <c r="B58" s="337">
        <v>46002</v>
      </c>
      <c r="C58" s="338" t="s">
        <v>915</v>
      </c>
      <c r="D58" s="37">
        <v>1</v>
      </c>
      <c r="E58" s="49"/>
      <c r="F58" s="25">
        <f t="shared" si="0"/>
        <v>1</v>
      </c>
      <c r="G58" s="49"/>
      <c r="H58" s="51">
        <v>35500</v>
      </c>
      <c r="I58" s="30">
        <f t="shared" si="1"/>
        <v>0</v>
      </c>
      <c r="J58" s="49"/>
      <c r="K58" s="51">
        <v>42000</v>
      </c>
      <c r="L58" s="32">
        <f t="shared" si="2"/>
        <v>0</v>
      </c>
      <c r="M58" s="34">
        <f t="shared" si="3"/>
        <v>0</v>
      </c>
      <c r="N58" s="34">
        <f t="shared" si="4"/>
        <v>0</v>
      </c>
      <c r="O58" s="34">
        <f t="shared" si="5"/>
        <v>0</v>
      </c>
    </row>
    <row r="59" ht="22" customHeight="1" spans="1:15">
      <c r="A59" s="25">
        <v>53</v>
      </c>
      <c r="B59" s="337">
        <v>46002</v>
      </c>
      <c r="C59" s="338" t="s">
        <v>916</v>
      </c>
      <c r="D59" s="37">
        <v>11</v>
      </c>
      <c r="E59" s="49"/>
      <c r="F59" s="25">
        <f t="shared" si="0"/>
        <v>11</v>
      </c>
      <c r="G59" s="49"/>
      <c r="H59" s="51">
        <v>41500</v>
      </c>
      <c r="I59" s="30">
        <f t="shared" si="1"/>
        <v>0</v>
      </c>
      <c r="J59" s="49"/>
      <c r="K59" s="51">
        <v>50000</v>
      </c>
      <c r="L59" s="32">
        <f t="shared" si="2"/>
        <v>0</v>
      </c>
      <c r="M59" s="34">
        <f t="shared" si="3"/>
        <v>0</v>
      </c>
      <c r="N59" s="34">
        <f t="shared" si="4"/>
        <v>0</v>
      </c>
      <c r="O59" s="34">
        <f t="shared" si="5"/>
        <v>0</v>
      </c>
    </row>
    <row r="60" ht="22" customHeight="1" spans="1:15">
      <c r="A60" s="25">
        <v>54</v>
      </c>
      <c r="B60" s="337">
        <v>46002</v>
      </c>
      <c r="C60" s="338" t="s">
        <v>917</v>
      </c>
      <c r="D60" s="37">
        <v>22</v>
      </c>
      <c r="E60" s="49"/>
      <c r="F60" s="25">
        <f t="shared" si="0"/>
        <v>22</v>
      </c>
      <c r="G60" s="49"/>
      <c r="H60" s="51">
        <v>35500</v>
      </c>
      <c r="I60" s="30">
        <f t="shared" si="1"/>
        <v>0</v>
      </c>
      <c r="J60" s="49"/>
      <c r="K60" s="51">
        <v>41000</v>
      </c>
      <c r="L60" s="32">
        <f t="shared" si="2"/>
        <v>0</v>
      </c>
      <c r="M60" s="34">
        <f t="shared" si="3"/>
        <v>0</v>
      </c>
      <c r="N60" s="34">
        <f t="shared" si="4"/>
        <v>0</v>
      </c>
      <c r="O60" s="34">
        <f t="shared" si="5"/>
        <v>0</v>
      </c>
    </row>
    <row r="61" ht="22" customHeight="1" spans="1:15">
      <c r="A61" s="25">
        <v>55</v>
      </c>
      <c r="B61" s="337">
        <v>46002</v>
      </c>
      <c r="C61" s="27" t="s">
        <v>918</v>
      </c>
      <c r="D61" s="37">
        <v>21</v>
      </c>
      <c r="E61" s="37"/>
      <c r="F61" s="25">
        <f t="shared" si="0"/>
        <v>21</v>
      </c>
      <c r="G61" s="37"/>
      <c r="H61" s="39">
        <v>43000</v>
      </c>
      <c r="I61" s="30">
        <f t="shared" si="1"/>
        <v>0</v>
      </c>
      <c r="J61" s="37"/>
      <c r="K61" s="39">
        <v>49000</v>
      </c>
      <c r="L61" s="32">
        <f t="shared" si="2"/>
        <v>0</v>
      </c>
      <c r="M61" s="34">
        <f t="shared" si="3"/>
        <v>0</v>
      </c>
      <c r="N61" s="34">
        <f t="shared" si="4"/>
        <v>0</v>
      </c>
      <c r="O61" s="34">
        <f t="shared" si="5"/>
        <v>0</v>
      </c>
    </row>
    <row r="62" ht="22" customHeight="1" spans="1:15">
      <c r="A62" s="25">
        <v>56</v>
      </c>
      <c r="B62" s="337">
        <v>46002</v>
      </c>
      <c r="C62" s="338" t="s">
        <v>919</v>
      </c>
      <c r="D62" s="37">
        <v>13</v>
      </c>
      <c r="E62" s="49">
        <v>3</v>
      </c>
      <c r="F62" s="25">
        <f t="shared" si="0"/>
        <v>10</v>
      </c>
      <c r="G62" s="49"/>
      <c r="H62" s="339">
        <v>56000</v>
      </c>
      <c r="I62" s="30">
        <f t="shared" si="1"/>
        <v>168000</v>
      </c>
      <c r="J62" s="49">
        <v>3</v>
      </c>
      <c r="K62" s="339">
        <v>70000</v>
      </c>
      <c r="L62" s="43">
        <f t="shared" si="2"/>
        <v>210000</v>
      </c>
      <c r="M62" s="45">
        <f t="shared" si="3"/>
        <v>42000</v>
      </c>
      <c r="N62" s="45">
        <f t="shared" si="4"/>
        <v>29400</v>
      </c>
      <c r="O62" s="45">
        <f t="shared" si="5"/>
        <v>12600</v>
      </c>
    </row>
    <row r="63" ht="22" customHeight="1" spans="1:15">
      <c r="A63" s="25">
        <v>57</v>
      </c>
      <c r="B63" s="337">
        <v>46002</v>
      </c>
      <c r="C63" s="338" t="s">
        <v>920</v>
      </c>
      <c r="D63" s="49">
        <v>6</v>
      </c>
      <c r="E63" s="49"/>
      <c r="F63" s="25">
        <f t="shared" si="0"/>
        <v>6</v>
      </c>
      <c r="G63" s="49"/>
      <c r="H63" s="339">
        <v>59000</v>
      </c>
      <c r="I63" s="30">
        <f t="shared" si="1"/>
        <v>0</v>
      </c>
      <c r="J63" s="49"/>
      <c r="K63" s="339">
        <v>65000</v>
      </c>
      <c r="L63" s="43">
        <f t="shared" si="2"/>
        <v>0</v>
      </c>
      <c r="M63" s="45">
        <f t="shared" si="3"/>
        <v>0</v>
      </c>
      <c r="N63" s="45">
        <f t="shared" si="4"/>
        <v>0</v>
      </c>
      <c r="O63" s="45">
        <f t="shared" si="5"/>
        <v>0</v>
      </c>
    </row>
    <row r="64" ht="22" customHeight="1" spans="1:15">
      <c r="A64" s="25">
        <v>58</v>
      </c>
      <c r="B64" s="337">
        <v>46002</v>
      </c>
      <c r="C64" s="338" t="s">
        <v>921</v>
      </c>
      <c r="D64" s="49">
        <v>13</v>
      </c>
      <c r="E64" s="49"/>
      <c r="F64" s="25">
        <f t="shared" si="0"/>
        <v>13</v>
      </c>
      <c r="G64" s="49"/>
      <c r="H64" s="51">
        <v>18000</v>
      </c>
      <c r="I64" s="30">
        <f t="shared" si="1"/>
        <v>0</v>
      </c>
      <c r="J64" s="49"/>
      <c r="K64" s="51">
        <v>30000</v>
      </c>
      <c r="L64" s="32">
        <f t="shared" si="2"/>
        <v>0</v>
      </c>
      <c r="M64" s="34">
        <f t="shared" si="3"/>
        <v>0</v>
      </c>
      <c r="N64" s="34">
        <f t="shared" si="4"/>
        <v>0</v>
      </c>
      <c r="O64" s="34">
        <f t="shared" si="5"/>
        <v>0</v>
      </c>
    </row>
    <row r="65" ht="22" customHeight="1" spans="1:17">
      <c r="A65" s="25">
        <v>59</v>
      </c>
      <c r="B65" s="337">
        <v>46002</v>
      </c>
      <c r="C65" s="338" t="s">
        <v>922</v>
      </c>
      <c r="D65" s="49">
        <v>47</v>
      </c>
      <c r="E65" s="49">
        <v>1</v>
      </c>
      <c r="F65" s="25">
        <f t="shared" si="0"/>
        <v>46</v>
      </c>
      <c r="G65" s="49"/>
      <c r="H65" s="51">
        <v>17800</v>
      </c>
      <c r="I65" s="30">
        <f t="shared" si="1"/>
        <v>17800</v>
      </c>
      <c r="J65" s="49">
        <v>1</v>
      </c>
      <c r="K65" s="51">
        <v>25000</v>
      </c>
      <c r="L65" s="32">
        <f t="shared" si="2"/>
        <v>25000</v>
      </c>
      <c r="M65" s="34">
        <f t="shared" si="3"/>
        <v>7200</v>
      </c>
      <c r="N65" s="34">
        <f t="shared" si="4"/>
        <v>5040</v>
      </c>
      <c r="O65" s="34">
        <f t="shared" si="5"/>
        <v>2160</v>
      </c>
    </row>
    <row r="66" ht="22" customHeight="1" spans="1:17">
      <c r="A66" s="25">
        <v>60</v>
      </c>
      <c r="B66" s="337">
        <v>46002</v>
      </c>
      <c r="C66" s="338" t="s">
        <v>923</v>
      </c>
      <c r="D66" s="49">
        <v>17</v>
      </c>
      <c r="E66" s="49">
        <v>1</v>
      </c>
      <c r="F66" s="25">
        <f t="shared" si="0"/>
        <v>16</v>
      </c>
      <c r="G66" s="49"/>
      <c r="H66" s="51">
        <v>16500</v>
      </c>
      <c r="I66" s="30">
        <f t="shared" si="1"/>
        <v>16500</v>
      </c>
      <c r="J66" s="49">
        <v>1</v>
      </c>
      <c r="K66" s="51">
        <v>25000</v>
      </c>
      <c r="L66" s="32">
        <f t="shared" si="2"/>
        <v>25000</v>
      </c>
      <c r="M66" s="34">
        <f t="shared" si="3"/>
        <v>8500</v>
      </c>
      <c r="N66" s="34">
        <f t="shared" si="4"/>
        <v>5950</v>
      </c>
      <c r="O66" s="34">
        <f t="shared" si="5"/>
        <v>2550</v>
      </c>
    </row>
    <row r="67" ht="22" customHeight="1" spans="1:17">
      <c r="A67" s="25">
        <v>61</v>
      </c>
      <c r="B67" s="337">
        <v>46002</v>
      </c>
      <c r="C67" s="338" t="s">
        <v>924</v>
      </c>
      <c r="D67" s="37">
        <v>1</v>
      </c>
      <c r="E67" s="49"/>
      <c r="F67" s="25">
        <f t="shared" si="0"/>
        <v>1</v>
      </c>
      <c r="G67" s="49"/>
      <c r="H67" s="51">
        <v>40000</v>
      </c>
      <c r="I67" s="30">
        <f t="shared" si="1"/>
        <v>0</v>
      </c>
      <c r="J67" s="49"/>
      <c r="K67" s="51">
        <v>55000</v>
      </c>
      <c r="L67" s="32">
        <f t="shared" si="2"/>
        <v>0</v>
      </c>
      <c r="M67" s="34">
        <f t="shared" si="3"/>
        <v>0</v>
      </c>
      <c r="N67" s="34">
        <f t="shared" si="4"/>
        <v>0</v>
      </c>
      <c r="O67" s="34">
        <f t="shared" si="5"/>
        <v>0</v>
      </c>
    </row>
    <row r="68" ht="22" customHeight="1" spans="1:17">
      <c r="A68" s="25">
        <v>62</v>
      </c>
      <c r="B68" s="337">
        <v>46002</v>
      </c>
      <c r="C68" s="338" t="s">
        <v>925</v>
      </c>
      <c r="D68" s="37">
        <v>3</v>
      </c>
      <c r="E68" s="49"/>
      <c r="F68" s="25">
        <f t="shared" si="0"/>
        <v>3</v>
      </c>
      <c r="G68" s="49"/>
      <c r="H68" s="51">
        <v>180000</v>
      </c>
      <c r="I68" s="30">
        <f t="shared" si="1"/>
        <v>0</v>
      </c>
      <c r="J68" s="49"/>
      <c r="K68" s="51">
        <v>215000</v>
      </c>
      <c r="L68" s="32">
        <f t="shared" si="2"/>
        <v>0</v>
      </c>
      <c r="M68" s="34">
        <f t="shared" si="3"/>
        <v>0</v>
      </c>
      <c r="N68" s="34">
        <f t="shared" si="4"/>
        <v>0</v>
      </c>
      <c r="O68" s="34">
        <f t="shared" si="5"/>
        <v>0</v>
      </c>
    </row>
    <row r="69" ht="22" customHeight="1" spans="1:17">
      <c r="A69" s="25">
        <v>63</v>
      </c>
      <c r="B69" s="337">
        <v>46002</v>
      </c>
      <c r="C69" s="338" t="s">
        <v>926</v>
      </c>
      <c r="D69" s="37">
        <v>2</v>
      </c>
      <c r="E69" s="49"/>
      <c r="F69" s="25">
        <f t="shared" si="0"/>
        <v>2</v>
      </c>
      <c r="G69" s="49"/>
      <c r="H69" s="51">
        <v>255000</v>
      </c>
      <c r="I69" s="30">
        <f t="shared" si="1"/>
        <v>0</v>
      </c>
      <c r="J69" s="49"/>
      <c r="K69" s="51">
        <v>285000</v>
      </c>
      <c r="L69" s="32">
        <f t="shared" si="2"/>
        <v>0</v>
      </c>
      <c r="M69" s="34">
        <f t="shared" si="3"/>
        <v>0</v>
      </c>
      <c r="N69" s="34">
        <f t="shared" si="4"/>
        <v>0</v>
      </c>
      <c r="O69" s="34">
        <f t="shared" si="5"/>
        <v>0</v>
      </c>
    </row>
    <row r="70" ht="22" customHeight="1" spans="1:17">
      <c r="A70" s="25">
        <v>64</v>
      </c>
      <c r="B70" s="337">
        <v>46002</v>
      </c>
      <c r="C70" s="338" t="s">
        <v>927</v>
      </c>
      <c r="D70" s="37">
        <v>58</v>
      </c>
      <c r="E70" s="49"/>
      <c r="F70" s="25">
        <f t="shared" si="0"/>
        <v>58</v>
      </c>
      <c r="G70" s="49"/>
      <c r="H70" s="51">
        <v>33000</v>
      </c>
      <c r="I70" s="30">
        <f t="shared" si="1"/>
        <v>0</v>
      </c>
      <c r="J70" s="49"/>
      <c r="K70" s="51">
        <v>45000</v>
      </c>
      <c r="L70" s="32">
        <f t="shared" si="2"/>
        <v>0</v>
      </c>
      <c r="M70" s="34">
        <f t="shared" si="3"/>
        <v>0</v>
      </c>
      <c r="N70" s="34">
        <f t="shared" si="4"/>
        <v>0</v>
      </c>
      <c r="O70" s="34">
        <f t="shared" si="5"/>
        <v>0</v>
      </c>
    </row>
    <row r="71" ht="22" customHeight="1" spans="1:17">
      <c r="A71" s="25">
        <v>65</v>
      </c>
      <c r="B71" s="337">
        <v>46002</v>
      </c>
      <c r="C71" s="338" t="s">
        <v>928</v>
      </c>
      <c r="D71" s="37">
        <v>30</v>
      </c>
      <c r="E71" s="340"/>
      <c r="F71" s="25">
        <f t="shared" si="0"/>
        <v>30</v>
      </c>
      <c r="G71" s="49"/>
      <c r="H71" s="51">
        <v>38000</v>
      </c>
      <c r="I71" s="30">
        <f t="shared" si="1"/>
        <v>0</v>
      </c>
      <c r="J71" s="340"/>
      <c r="K71" s="51">
        <v>48000</v>
      </c>
      <c r="L71" s="32">
        <f t="shared" si="2"/>
        <v>0</v>
      </c>
      <c r="M71" s="34">
        <f t="shared" si="3"/>
        <v>0</v>
      </c>
      <c r="N71" s="34">
        <f t="shared" si="4"/>
        <v>0</v>
      </c>
      <c r="O71" s="34">
        <f t="shared" si="5"/>
        <v>0</v>
      </c>
    </row>
    <row r="72" ht="22" customHeight="1" spans="1:17">
      <c r="A72" s="25">
        <v>66</v>
      </c>
      <c r="B72" s="1062" t="s">
        <v>929</v>
      </c>
      <c r="C72" s="341" t="s">
        <v>930</v>
      </c>
      <c r="D72" s="37">
        <v>7</v>
      </c>
      <c r="E72" s="37">
        <v>3</v>
      </c>
      <c r="F72" s="25">
        <f>SUM(D72-E72)</f>
        <v>4</v>
      </c>
      <c r="G72" s="37"/>
      <c r="H72" s="342">
        <v>27800</v>
      </c>
      <c r="I72" s="343">
        <f>SUM(E72*H72)</f>
        <v>83400</v>
      </c>
      <c r="J72" s="37">
        <v>3</v>
      </c>
      <c r="K72" s="344">
        <v>50000</v>
      </c>
      <c r="L72" s="32">
        <f>SUM(J72*K72)</f>
        <v>150000</v>
      </c>
      <c r="M72" s="34">
        <f>SUM(L72-I72)</f>
        <v>66600</v>
      </c>
      <c r="N72" s="34">
        <f>SUM(M72*70%)</f>
        <v>46620</v>
      </c>
      <c r="O72" s="34">
        <f>SUM(M72*30%)</f>
        <v>19980</v>
      </c>
      <c r="Q72" s="345"/>
    </row>
    <row r="73" ht="22" customHeight="1" spans="1:17">
      <c r="A73" s="25">
        <v>67</v>
      </c>
      <c r="B73" s="1062" t="s">
        <v>929</v>
      </c>
      <c r="C73" s="341" t="s">
        <v>931</v>
      </c>
      <c r="D73" s="37">
        <v>6</v>
      </c>
      <c r="E73" s="37">
        <v>5</v>
      </c>
      <c r="F73" s="25">
        <f>SUM(D73-E73)</f>
        <v>1</v>
      </c>
      <c r="G73" s="37"/>
      <c r="H73" s="342">
        <v>30500</v>
      </c>
      <c r="I73" s="343">
        <f>SUM(E73*H73)</f>
        <v>152500</v>
      </c>
      <c r="J73" s="37">
        <v>5</v>
      </c>
      <c r="K73" s="344">
        <v>50000</v>
      </c>
      <c r="L73" s="32">
        <f>SUM(J73*K73)</f>
        <v>250000</v>
      </c>
      <c r="M73" s="34">
        <f>SUM(L73-I73)</f>
        <v>97500</v>
      </c>
      <c r="N73" s="34">
        <f>SUM(M73*70%)</f>
        <v>68250</v>
      </c>
      <c r="O73" s="34">
        <f>SUM(M73*30%)</f>
        <v>29250</v>
      </c>
      <c r="Q73" s="345"/>
    </row>
    <row r="74" ht="22" customHeight="1" spans="1:17">
      <c r="A74" s="25">
        <v>68</v>
      </c>
      <c r="B74" s="1062" t="s">
        <v>932</v>
      </c>
      <c r="C74" s="341" t="s">
        <v>933</v>
      </c>
      <c r="D74" s="37">
        <v>9</v>
      </c>
      <c r="E74" s="37"/>
      <c r="F74" s="37">
        <f t="shared" ref="F74:F94" si="6">SUM(D74-E74)</f>
        <v>9</v>
      </c>
      <c r="G74" s="37"/>
      <c r="H74" s="346">
        <v>10000</v>
      </c>
      <c r="I74" s="346">
        <f t="shared" ref="I74:I94" si="7">SUM(E74*H74)</f>
        <v>0</v>
      </c>
      <c r="J74" s="37"/>
      <c r="K74" s="344">
        <v>25000</v>
      </c>
      <c r="L74" s="32">
        <f t="shared" ref="L74:L94" si="8">SUM(J74*K74)</f>
        <v>0</v>
      </c>
      <c r="M74" s="34">
        <f t="shared" ref="M74:M94" si="9">SUM(L74-I74)</f>
        <v>0</v>
      </c>
      <c r="N74" s="34">
        <f t="shared" ref="N74:N94" si="10">SUM(M74*70%)</f>
        <v>0</v>
      </c>
      <c r="O74" s="34">
        <f t="shared" ref="O74:O94" si="11">SUM(M74*30%)</f>
        <v>0</v>
      </c>
      <c r="Q74" s="345"/>
    </row>
    <row r="75" ht="22" customHeight="1" spans="1:17">
      <c r="A75" s="25">
        <v>69</v>
      </c>
      <c r="B75" s="1062" t="str">
        <f t="shared" ref="B75:B84" si="12">B74</f>
        <v>2/4/2026</v>
      </c>
      <c r="C75" s="341" t="s">
        <v>934</v>
      </c>
      <c r="D75" s="37">
        <v>13</v>
      </c>
      <c r="E75" s="37"/>
      <c r="F75" s="37">
        <f t="shared" si="6"/>
        <v>13</v>
      </c>
      <c r="G75" s="37"/>
      <c r="H75" s="346">
        <v>40000</v>
      </c>
      <c r="I75" s="346">
        <f t="shared" si="7"/>
        <v>0</v>
      </c>
      <c r="J75" s="37"/>
      <c r="K75" s="344">
        <v>50000</v>
      </c>
      <c r="L75" s="32">
        <f t="shared" si="8"/>
        <v>0</v>
      </c>
      <c r="M75" s="34">
        <f t="shared" si="9"/>
        <v>0</v>
      </c>
      <c r="N75" s="34">
        <f t="shared" si="10"/>
        <v>0</v>
      </c>
      <c r="O75" s="34">
        <f t="shared" si="11"/>
        <v>0</v>
      </c>
      <c r="Q75" s="345"/>
    </row>
    <row r="76" ht="22" customHeight="1" spans="1:17">
      <c r="A76" s="25">
        <v>70</v>
      </c>
      <c r="B76" s="1062" t="str">
        <f t="shared" si="12"/>
        <v>2/4/2026</v>
      </c>
      <c r="C76" s="341" t="s">
        <v>935</v>
      </c>
      <c r="D76" s="37">
        <v>2</v>
      </c>
      <c r="E76" s="37"/>
      <c r="F76" s="37">
        <f t="shared" si="6"/>
        <v>2</v>
      </c>
      <c r="G76" s="37"/>
      <c r="H76" s="346">
        <v>100000</v>
      </c>
      <c r="I76" s="346">
        <f t="shared" si="7"/>
        <v>0</v>
      </c>
      <c r="J76" s="37"/>
      <c r="K76" s="344">
        <v>115000</v>
      </c>
      <c r="L76" s="32">
        <f t="shared" si="8"/>
        <v>0</v>
      </c>
      <c r="M76" s="34">
        <f t="shared" si="9"/>
        <v>0</v>
      </c>
      <c r="N76" s="34">
        <f t="shared" si="10"/>
        <v>0</v>
      </c>
      <c r="O76" s="34">
        <f t="shared" si="11"/>
        <v>0</v>
      </c>
      <c r="Q76" s="345"/>
    </row>
    <row r="77" ht="22" customHeight="1" spans="1:17">
      <c r="A77" s="25">
        <v>71</v>
      </c>
      <c r="B77" s="1062" t="str">
        <f t="shared" si="12"/>
        <v>2/4/2026</v>
      </c>
      <c r="C77" s="341" t="s">
        <v>936</v>
      </c>
      <c r="D77" s="37">
        <v>2</v>
      </c>
      <c r="E77" s="37"/>
      <c r="F77" s="37">
        <f t="shared" si="6"/>
        <v>2</v>
      </c>
      <c r="G77" s="37"/>
      <c r="H77" s="346">
        <v>100000</v>
      </c>
      <c r="I77" s="346">
        <f t="shared" si="7"/>
        <v>0</v>
      </c>
      <c r="J77" s="37"/>
      <c r="K77" s="344">
        <v>115000</v>
      </c>
      <c r="L77" s="32">
        <f t="shared" si="8"/>
        <v>0</v>
      </c>
      <c r="M77" s="34">
        <f t="shared" si="9"/>
        <v>0</v>
      </c>
      <c r="N77" s="34">
        <f t="shared" si="10"/>
        <v>0</v>
      </c>
      <c r="O77" s="34">
        <f t="shared" si="11"/>
        <v>0</v>
      </c>
      <c r="Q77" s="345"/>
    </row>
    <row r="78" ht="22" customHeight="1" spans="1:17">
      <c r="A78" s="25">
        <v>72</v>
      </c>
      <c r="B78" s="1062" t="str">
        <f t="shared" si="12"/>
        <v>2/4/2026</v>
      </c>
      <c r="C78" s="341" t="s">
        <v>937</v>
      </c>
      <c r="D78" s="37">
        <v>48</v>
      </c>
      <c r="E78" s="37">
        <v>2</v>
      </c>
      <c r="F78" s="37">
        <f t="shared" si="6"/>
        <v>46</v>
      </c>
      <c r="G78" s="37"/>
      <c r="H78" s="346">
        <v>6000</v>
      </c>
      <c r="I78" s="346">
        <f t="shared" si="7"/>
        <v>12000</v>
      </c>
      <c r="J78" s="37">
        <v>2</v>
      </c>
      <c r="K78" s="344">
        <v>12000</v>
      </c>
      <c r="L78" s="32">
        <f t="shared" si="8"/>
        <v>24000</v>
      </c>
      <c r="M78" s="34">
        <f t="shared" si="9"/>
        <v>12000</v>
      </c>
      <c r="N78" s="34">
        <f t="shared" si="10"/>
        <v>8400</v>
      </c>
      <c r="O78" s="34">
        <f t="shared" si="11"/>
        <v>3600</v>
      </c>
      <c r="Q78" s="345"/>
    </row>
    <row r="79" ht="22" customHeight="1" spans="1:17">
      <c r="A79" s="25">
        <v>73</v>
      </c>
      <c r="B79" s="1062" t="str">
        <f t="shared" si="12"/>
        <v>2/4/2026</v>
      </c>
      <c r="C79" s="341" t="s">
        <v>938</v>
      </c>
      <c r="D79" s="37">
        <v>2</v>
      </c>
      <c r="E79" s="37"/>
      <c r="F79" s="37">
        <f t="shared" si="6"/>
        <v>2</v>
      </c>
      <c r="G79" s="37"/>
      <c r="H79" s="346">
        <v>43000</v>
      </c>
      <c r="I79" s="346">
        <f t="shared" si="7"/>
        <v>0</v>
      </c>
      <c r="J79" s="37"/>
      <c r="K79" s="344">
        <v>50000</v>
      </c>
      <c r="L79" s="32">
        <f t="shared" si="8"/>
        <v>0</v>
      </c>
      <c r="M79" s="34">
        <f t="shared" si="9"/>
        <v>0</v>
      </c>
      <c r="N79" s="34">
        <f t="shared" si="10"/>
        <v>0</v>
      </c>
      <c r="O79" s="34">
        <f t="shared" si="11"/>
        <v>0</v>
      </c>
      <c r="Q79" s="345"/>
    </row>
    <row r="80" ht="22" customHeight="1" spans="1:17">
      <c r="A80" s="25">
        <v>74</v>
      </c>
      <c r="B80" s="1062" t="str">
        <f t="shared" si="12"/>
        <v>2/4/2026</v>
      </c>
      <c r="C80" s="341" t="s">
        <v>939</v>
      </c>
      <c r="D80" s="37">
        <v>2</v>
      </c>
      <c r="E80" s="37"/>
      <c r="F80" s="37">
        <f t="shared" si="6"/>
        <v>2</v>
      </c>
      <c r="G80" s="37"/>
      <c r="H80" s="346">
        <v>43000</v>
      </c>
      <c r="I80" s="346">
        <f t="shared" si="7"/>
        <v>0</v>
      </c>
      <c r="J80" s="37"/>
      <c r="K80" s="344">
        <v>49000</v>
      </c>
      <c r="L80" s="32">
        <f t="shared" si="8"/>
        <v>0</v>
      </c>
      <c r="M80" s="34">
        <f t="shared" si="9"/>
        <v>0</v>
      </c>
      <c r="N80" s="34">
        <f t="shared" si="10"/>
        <v>0</v>
      </c>
      <c r="O80" s="34">
        <f t="shared" si="11"/>
        <v>0</v>
      </c>
      <c r="Q80" s="345"/>
    </row>
    <row r="81" ht="22" customHeight="1" spans="1:17">
      <c r="A81" s="25">
        <v>75</v>
      </c>
      <c r="B81" s="1062" t="str">
        <f t="shared" si="12"/>
        <v>2/4/2026</v>
      </c>
      <c r="C81" s="341" t="s">
        <v>940</v>
      </c>
      <c r="D81" s="37">
        <v>15</v>
      </c>
      <c r="E81" s="37"/>
      <c r="F81" s="37">
        <f t="shared" si="6"/>
        <v>15</v>
      </c>
      <c r="G81" s="37" t="s">
        <v>941</v>
      </c>
      <c r="H81" s="346">
        <v>20000</v>
      </c>
      <c r="I81" s="346">
        <f t="shared" si="7"/>
        <v>0</v>
      </c>
      <c r="J81" s="37"/>
      <c r="K81" s="344">
        <v>30000</v>
      </c>
      <c r="L81" s="32">
        <f t="shared" si="8"/>
        <v>0</v>
      </c>
      <c r="M81" s="34">
        <f t="shared" si="9"/>
        <v>0</v>
      </c>
      <c r="N81" s="34">
        <f t="shared" si="10"/>
        <v>0</v>
      </c>
      <c r="O81" s="34">
        <f t="shared" si="11"/>
        <v>0</v>
      </c>
      <c r="Q81" s="345"/>
    </row>
    <row r="82" ht="22" customHeight="1" spans="1:17">
      <c r="A82" s="25">
        <v>76</v>
      </c>
      <c r="B82" s="1062" t="str">
        <f t="shared" si="12"/>
        <v>2/4/2026</v>
      </c>
      <c r="C82" s="341" t="s">
        <v>942</v>
      </c>
      <c r="D82" s="37">
        <v>15</v>
      </c>
      <c r="E82" s="37"/>
      <c r="F82" s="37">
        <f t="shared" si="6"/>
        <v>15</v>
      </c>
      <c r="G82" s="37" t="s">
        <v>941</v>
      </c>
      <c r="H82" s="346">
        <v>35000</v>
      </c>
      <c r="I82" s="346">
        <f t="shared" si="7"/>
        <v>0</v>
      </c>
      <c r="J82" s="37"/>
      <c r="K82" s="344">
        <v>50000</v>
      </c>
      <c r="L82" s="32">
        <f t="shared" si="8"/>
        <v>0</v>
      </c>
      <c r="M82" s="34">
        <f t="shared" si="9"/>
        <v>0</v>
      </c>
      <c r="N82" s="34">
        <f t="shared" si="10"/>
        <v>0</v>
      </c>
      <c r="O82" s="34">
        <f t="shared" si="11"/>
        <v>0</v>
      </c>
      <c r="Q82" s="345"/>
    </row>
    <row r="83" ht="22" customHeight="1" spans="1:17">
      <c r="A83" s="25">
        <v>77</v>
      </c>
      <c r="B83" s="1062" t="str">
        <f t="shared" si="12"/>
        <v>2/4/2026</v>
      </c>
      <c r="C83" s="341" t="s">
        <v>943</v>
      </c>
      <c r="D83" s="37">
        <v>5</v>
      </c>
      <c r="E83" s="37"/>
      <c r="F83" s="37">
        <f t="shared" si="6"/>
        <v>5</v>
      </c>
      <c r="G83" s="37" t="s">
        <v>941</v>
      </c>
      <c r="H83" s="346">
        <v>30000</v>
      </c>
      <c r="I83" s="346">
        <f t="shared" si="7"/>
        <v>0</v>
      </c>
      <c r="J83" s="37"/>
      <c r="K83" s="344">
        <v>50000</v>
      </c>
      <c r="L83" s="32">
        <f t="shared" si="8"/>
        <v>0</v>
      </c>
      <c r="M83" s="34">
        <f t="shared" si="9"/>
        <v>0</v>
      </c>
      <c r="N83" s="34">
        <f t="shared" si="10"/>
        <v>0</v>
      </c>
      <c r="O83" s="34">
        <f t="shared" si="11"/>
        <v>0</v>
      </c>
      <c r="Q83" s="345"/>
    </row>
    <row r="84" ht="22" customHeight="1" spans="1:17">
      <c r="A84" s="25">
        <v>78</v>
      </c>
      <c r="B84" s="1062" t="str">
        <f t="shared" si="12"/>
        <v>2/4/2026</v>
      </c>
      <c r="C84" s="341" t="s">
        <v>944</v>
      </c>
      <c r="D84" s="37">
        <v>5</v>
      </c>
      <c r="E84" s="37"/>
      <c r="F84" s="37">
        <f t="shared" si="6"/>
        <v>5</v>
      </c>
      <c r="G84" s="37" t="s">
        <v>941</v>
      </c>
      <c r="H84" s="346">
        <v>30000</v>
      </c>
      <c r="I84" s="346">
        <f t="shared" si="7"/>
        <v>0</v>
      </c>
      <c r="J84" s="37"/>
      <c r="K84" s="344">
        <v>50000</v>
      </c>
      <c r="L84" s="32">
        <f t="shared" si="8"/>
        <v>0</v>
      </c>
      <c r="M84" s="34">
        <f t="shared" si="9"/>
        <v>0</v>
      </c>
      <c r="N84" s="34">
        <f t="shared" si="10"/>
        <v>0</v>
      </c>
      <c r="O84" s="34">
        <f t="shared" si="11"/>
        <v>0</v>
      </c>
      <c r="Q84" s="345"/>
    </row>
    <row r="85" ht="22" customHeight="1" spans="1:17">
      <c r="A85" s="25">
        <v>79</v>
      </c>
      <c r="B85" s="1062" t="str">
        <f t="shared" ref="B85:B98" si="13">B84</f>
        <v>2/4/2026</v>
      </c>
      <c r="C85" s="341" t="s">
        <v>945</v>
      </c>
      <c r="D85" s="37">
        <v>5</v>
      </c>
      <c r="E85" s="37"/>
      <c r="F85" s="37">
        <f t="shared" si="6"/>
        <v>5</v>
      </c>
      <c r="G85" s="37" t="s">
        <v>941</v>
      </c>
      <c r="H85" s="346">
        <v>35000</v>
      </c>
      <c r="I85" s="346">
        <f t="shared" si="7"/>
        <v>0</v>
      </c>
      <c r="J85" s="37"/>
      <c r="K85" s="344">
        <v>50000</v>
      </c>
      <c r="L85" s="32">
        <f t="shared" si="8"/>
        <v>0</v>
      </c>
      <c r="M85" s="34">
        <f t="shared" si="9"/>
        <v>0</v>
      </c>
      <c r="N85" s="34">
        <f t="shared" si="10"/>
        <v>0</v>
      </c>
      <c r="O85" s="34">
        <f t="shared" si="11"/>
        <v>0</v>
      </c>
      <c r="Q85" s="345"/>
    </row>
    <row r="86" ht="22" customHeight="1" spans="1:17">
      <c r="A86" s="25">
        <v>80</v>
      </c>
      <c r="B86" s="1062" t="str">
        <f t="shared" si="13"/>
        <v>2/4/2026</v>
      </c>
      <c r="C86" s="341" t="s">
        <v>946</v>
      </c>
      <c r="D86" s="37">
        <v>10</v>
      </c>
      <c r="E86" s="37"/>
      <c r="F86" s="37">
        <f t="shared" si="6"/>
        <v>10</v>
      </c>
      <c r="G86" s="37" t="s">
        <v>941</v>
      </c>
      <c r="H86" s="346">
        <v>20000</v>
      </c>
      <c r="I86" s="346">
        <f t="shared" si="7"/>
        <v>0</v>
      </c>
      <c r="J86" s="37"/>
      <c r="K86" s="344">
        <v>40000</v>
      </c>
      <c r="L86" s="32">
        <f t="shared" si="8"/>
        <v>0</v>
      </c>
      <c r="M86" s="34">
        <f t="shared" si="9"/>
        <v>0</v>
      </c>
      <c r="N86" s="34">
        <f t="shared" si="10"/>
        <v>0</v>
      </c>
      <c r="O86" s="34">
        <f t="shared" si="11"/>
        <v>0</v>
      </c>
      <c r="Q86" s="345"/>
    </row>
    <row r="87" ht="22" customHeight="1" spans="1:17">
      <c r="A87" s="25">
        <v>81</v>
      </c>
      <c r="B87" s="1062" t="str">
        <f t="shared" si="13"/>
        <v>2/4/2026</v>
      </c>
      <c r="C87" s="341" t="s">
        <v>947</v>
      </c>
      <c r="D87" s="37">
        <v>3</v>
      </c>
      <c r="E87" s="37"/>
      <c r="F87" s="37">
        <f t="shared" si="6"/>
        <v>3</v>
      </c>
      <c r="G87" s="37" t="s">
        <v>941</v>
      </c>
      <c r="H87" s="346">
        <v>90000</v>
      </c>
      <c r="I87" s="346">
        <f t="shared" si="7"/>
        <v>0</v>
      </c>
      <c r="J87" s="37"/>
      <c r="K87" s="344">
        <v>95000</v>
      </c>
      <c r="L87" s="32">
        <f t="shared" si="8"/>
        <v>0</v>
      </c>
      <c r="M87" s="34">
        <f t="shared" si="9"/>
        <v>0</v>
      </c>
      <c r="N87" s="34">
        <f t="shared" si="10"/>
        <v>0</v>
      </c>
      <c r="O87" s="34">
        <f t="shared" si="11"/>
        <v>0</v>
      </c>
      <c r="Q87" s="345"/>
    </row>
    <row r="88" ht="22" customHeight="1" spans="1:17">
      <c r="A88" s="25">
        <v>82</v>
      </c>
      <c r="B88" s="1062" t="str">
        <f t="shared" si="13"/>
        <v>2/4/2026</v>
      </c>
      <c r="C88" s="341" t="s">
        <v>948</v>
      </c>
      <c r="D88" s="37">
        <v>10</v>
      </c>
      <c r="E88" s="37"/>
      <c r="F88" s="37">
        <f t="shared" ref="F88:F102" si="14">SUM(D88-E88)</f>
        <v>10</v>
      </c>
      <c r="G88" s="37" t="s">
        <v>941</v>
      </c>
      <c r="H88" s="346">
        <v>15000</v>
      </c>
      <c r="I88" s="346"/>
      <c r="J88" s="37"/>
      <c r="K88" s="344">
        <v>20000</v>
      </c>
      <c r="L88" s="32"/>
      <c r="M88" s="34"/>
      <c r="N88" s="34"/>
      <c r="O88" s="34"/>
      <c r="Q88" s="345"/>
    </row>
    <row r="89" ht="22" customHeight="1" spans="1:17">
      <c r="A89" s="25">
        <v>83</v>
      </c>
      <c r="B89" s="1062" t="str">
        <f t="shared" si="13"/>
        <v>2/4/2026</v>
      </c>
      <c r="C89" s="341" t="s">
        <v>949</v>
      </c>
      <c r="D89" s="37">
        <v>7</v>
      </c>
      <c r="E89" s="37"/>
      <c r="F89" s="37">
        <f t="shared" si="14"/>
        <v>7</v>
      </c>
      <c r="G89" s="37"/>
      <c r="H89" s="346">
        <v>16500</v>
      </c>
      <c r="I89" s="346">
        <f t="shared" ref="I89:I102" si="15">SUM(E89*H89)</f>
        <v>0</v>
      </c>
      <c r="J89" s="37"/>
      <c r="K89" s="344">
        <v>20000</v>
      </c>
      <c r="L89" s="32">
        <f t="shared" ref="L89:L102" si="16">SUM(J89*K89)</f>
        <v>0</v>
      </c>
      <c r="M89" s="34">
        <f t="shared" ref="M89:M102" si="17">SUM(L89-I89)</f>
        <v>0</v>
      </c>
      <c r="N89" s="34">
        <f t="shared" ref="N89:N102" si="18">SUM(M89*70%)</f>
        <v>0</v>
      </c>
      <c r="O89" s="34">
        <f t="shared" ref="O89:O102" si="19">SUM(M89*30%)</f>
        <v>0</v>
      </c>
      <c r="Q89" s="345"/>
    </row>
    <row r="90" ht="22" customHeight="1" spans="1:17">
      <c r="A90" s="25">
        <v>84</v>
      </c>
      <c r="B90" s="1062" t="str">
        <f t="shared" si="13"/>
        <v>2/4/2026</v>
      </c>
      <c r="C90" s="341" t="s">
        <v>950</v>
      </c>
      <c r="D90" s="37">
        <v>10</v>
      </c>
      <c r="E90" s="37"/>
      <c r="F90" s="37">
        <f t="shared" si="14"/>
        <v>10</v>
      </c>
      <c r="G90" s="37"/>
      <c r="H90" s="346">
        <v>16500</v>
      </c>
      <c r="I90" s="346">
        <f t="shared" si="15"/>
        <v>0</v>
      </c>
      <c r="J90" s="37"/>
      <c r="K90" s="344">
        <v>20000</v>
      </c>
      <c r="L90" s="32">
        <f t="shared" si="16"/>
        <v>0</v>
      </c>
      <c r="M90" s="34">
        <f t="shared" si="17"/>
        <v>0</v>
      </c>
      <c r="N90" s="34">
        <f t="shared" si="18"/>
        <v>0</v>
      </c>
      <c r="O90" s="34">
        <f t="shared" si="19"/>
        <v>0</v>
      </c>
      <c r="Q90" s="345"/>
    </row>
    <row r="91" ht="22" customHeight="1" spans="1:17">
      <c r="A91" s="25">
        <v>85</v>
      </c>
      <c r="B91" s="1062" t="str">
        <f t="shared" si="13"/>
        <v>2/4/2026</v>
      </c>
      <c r="C91" s="341" t="s">
        <v>951</v>
      </c>
      <c r="D91" s="37">
        <v>9</v>
      </c>
      <c r="E91" s="37"/>
      <c r="F91" s="37">
        <f t="shared" si="14"/>
        <v>9</v>
      </c>
      <c r="G91" s="37"/>
      <c r="H91" s="346">
        <v>16500</v>
      </c>
      <c r="I91" s="346">
        <f t="shared" si="15"/>
        <v>0</v>
      </c>
      <c r="J91" s="37"/>
      <c r="K91" s="344">
        <v>20000</v>
      </c>
      <c r="L91" s="32">
        <f t="shared" si="16"/>
        <v>0</v>
      </c>
      <c r="M91" s="34">
        <f t="shared" si="17"/>
        <v>0</v>
      </c>
      <c r="N91" s="34">
        <f t="shared" si="18"/>
        <v>0</v>
      </c>
      <c r="O91" s="34">
        <f t="shared" si="19"/>
        <v>0</v>
      </c>
      <c r="Q91" s="345"/>
    </row>
    <row r="92" ht="22" customHeight="1" spans="1:17">
      <c r="A92" s="25">
        <v>86</v>
      </c>
      <c r="B92" s="1062" t="str">
        <f t="shared" si="13"/>
        <v>2/4/2026</v>
      </c>
      <c r="C92" s="341" t="s">
        <v>952</v>
      </c>
      <c r="D92" s="37">
        <v>15</v>
      </c>
      <c r="E92" s="37"/>
      <c r="F92" s="37">
        <f t="shared" si="14"/>
        <v>15</v>
      </c>
      <c r="G92" s="37"/>
      <c r="H92" s="346">
        <v>10000</v>
      </c>
      <c r="I92" s="346">
        <f t="shared" si="15"/>
        <v>0</v>
      </c>
      <c r="J92" s="37"/>
      <c r="K92" s="344">
        <v>20000</v>
      </c>
      <c r="L92" s="32">
        <f t="shared" si="16"/>
        <v>0</v>
      </c>
      <c r="M92" s="34">
        <f t="shared" si="17"/>
        <v>0</v>
      </c>
      <c r="N92" s="34">
        <f t="shared" si="18"/>
        <v>0</v>
      </c>
      <c r="O92" s="34">
        <f t="shared" si="19"/>
        <v>0</v>
      </c>
      <c r="Q92" s="345"/>
    </row>
    <row r="93" ht="22" customHeight="1" spans="1:17">
      <c r="A93" s="25">
        <v>87</v>
      </c>
      <c r="B93" s="1062" t="str">
        <f t="shared" si="13"/>
        <v>2/4/2026</v>
      </c>
      <c r="C93" s="341" t="s">
        <v>953</v>
      </c>
      <c r="D93" s="37">
        <v>14</v>
      </c>
      <c r="E93" s="37">
        <v>1</v>
      </c>
      <c r="F93" s="37">
        <f t="shared" si="14"/>
        <v>13</v>
      </c>
      <c r="G93" s="37"/>
      <c r="H93" s="346">
        <v>5000</v>
      </c>
      <c r="I93" s="346">
        <f t="shared" si="15"/>
        <v>5000</v>
      </c>
      <c r="J93" s="37">
        <v>1</v>
      </c>
      <c r="K93" s="344">
        <v>10000</v>
      </c>
      <c r="L93" s="32">
        <f t="shared" si="16"/>
        <v>10000</v>
      </c>
      <c r="M93" s="34">
        <f t="shared" si="17"/>
        <v>5000</v>
      </c>
      <c r="N93" s="34">
        <f t="shared" si="18"/>
        <v>3500</v>
      </c>
      <c r="O93" s="34">
        <f t="shared" si="19"/>
        <v>1500</v>
      </c>
      <c r="Q93" s="345"/>
    </row>
    <row r="94" ht="22" customHeight="1" spans="1:17">
      <c r="A94" s="25">
        <v>88</v>
      </c>
      <c r="B94" s="1062" t="str">
        <f t="shared" si="13"/>
        <v>2/4/2026</v>
      </c>
      <c r="C94" s="341" t="s">
        <v>954</v>
      </c>
      <c r="D94" s="37">
        <v>13</v>
      </c>
      <c r="E94" s="37"/>
      <c r="F94" s="37">
        <f t="shared" si="14"/>
        <v>13</v>
      </c>
      <c r="G94" s="37"/>
      <c r="H94" s="346">
        <v>5000</v>
      </c>
      <c r="I94" s="346">
        <f t="shared" si="15"/>
        <v>0</v>
      </c>
      <c r="J94" s="37"/>
      <c r="K94" s="344">
        <v>10000</v>
      </c>
      <c r="L94" s="32">
        <f t="shared" si="16"/>
        <v>0</v>
      </c>
      <c r="M94" s="34">
        <f t="shared" si="17"/>
        <v>0</v>
      </c>
      <c r="N94" s="34">
        <f t="shared" si="18"/>
        <v>0</v>
      </c>
      <c r="O94" s="34">
        <f t="shared" si="19"/>
        <v>0</v>
      </c>
      <c r="Q94" s="345"/>
    </row>
    <row r="95" ht="22" customHeight="1" spans="1:17">
      <c r="A95" s="25">
        <v>89</v>
      </c>
      <c r="B95" s="1062" t="str">
        <f t="shared" si="13"/>
        <v>2/4/2026</v>
      </c>
      <c r="C95" s="341" t="s">
        <v>955</v>
      </c>
      <c r="D95" s="37">
        <v>3</v>
      </c>
      <c r="E95" s="37"/>
      <c r="F95" s="37">
        <f t="shared" si="14"/>
        <v>3</v>
      </c>
      <c r="G95" s="37"/>
      <c r="H95" s="346">
        <v>29000</v>
      </c>
      <c r="I95" s="346">
        <f t="shared" si="15"/>
        <v>0</v>
      </c>
      <c r="J95" s="37"/>
      <c r="K95" s="344">
        <v>40000</v>
      </c>
      <c r="L95" s="32">
        <f t="shared" si="16"/>
        <v>0</v>
      </c>
      <c r="M95" s="34">
        <f t="shared" si="17"/>
        <v>0</v>
      </c>
      <c r="N95" s="34">
        <f t="shared" si="18"/>
        <v>0</v>
      </c>
      <c r="O95" s="34">
        <f t="shared" si="19"/>
        <v>0</v>
      </c>
      <c r="Q95" s="345"/>
    </row>
    <row r="96" ht="22" customHeight="1" spans="1:17">
      <c r="A96" s="25">
        <v>90</v>
      </c>
      <c r="B96" s="1062" t="str">
        <f t="shared" si="13"/>
        <v>2/4/2026</v>
      </c>
      <c r="C96" s="341" t="s">
        <v>956</v>
      </c>
      <c r="D96" s="37">
        <v>5</v>
      </c>
      <c r="E96" s="341"/>
      <c r="F96" s="37">
        <f t="shared" si="14"/>
        <v>5</v>
      </c>
      <c r="G96" s="341"/>
      <c r="H96" s="347">
        <v>32000</v>
      </c>
      <c r="I96" s="346">
        <f t="shared" si="15"/>
        <v>0</v>
      </c>
      <c r="J96" s="341"/>
      <c r="K96" s="348">
        <v>40000</v>
      </c>
      <c r="L96" s="32">
        <f t="shared" si="16"/>
        <v>0</v>
      </c>
      <c r="M96" s="34">
        <f t="shared" si="17"/>
        <v>0</v>
      </c>
      <c r="N96" s="34">
        <f t="shared" si="18"/>
        <v>0</v>
      </c>
      <c r="O96" s="34">
        <f t="shared" si="19"/>
        <v>0</v>
      </c>
      <c r="Q96" s="345"/>
    </row>
    <row r="97" ht="22" customHeight="1" spans="1:17">
      <c r="A97" s="25">
        <v>91</v>
      </c>
      <c r="B97" s="1062" t="str">
        <f t="shared" si="13"/>
        <v>2/4/2026</v>
      </c>
      <c r="C97" s="341" t="s">
        <v>957</v>
      </c>
      <c r="D97" s="37">
        <v>3</v>
      </c>
      <c r="E97" s="341"/>
      <c r="F97" s="37">
        <f t="shared" si="14"/>
        <v>3</v>
      </c>
      <c r="G97" s="341"/>
      <c r="H97" s="347">
        <v>29000</v>
      </c>
      <c r="I97" s="346">
        <f t="shared" si="15"/>
        <v>0</v>
      </c>
      <c r="J97" s="341"/>
      <c r="K97" s="348">
        <v>38000</v>
      </c>
      <c r="L97" s="32">
        <f t="shared" si="16"/>
        <v>0</v>
      </c>
      <c r="M97" s="34">
        <f t="shared" si="17"/>
        <v>0</v>
      </c>
      <c r="N97" s="34">
        <f t="shared" si="18"/>
        <v>0</v>
      </c>
      <c r="O97" s="34">
        <f t="shared" si="19"/>
        <v>0</v>
      </c>
      <c r="Q97" s="345"/>
    </row>
    <row r="98" ht="22" customHeight="1" spans="1:17">
      <c r="A98" s="25">
        <v>92</v>
      </c>
      <c r="B98" s="1062" t="str">
        <f t="shared" si="13"/>
        <v>2/4/2026</v>
      </c>
      <c r="C98" s="341" t="s">
        <v>958</v>
      </c>
      <c r="D98" s="37">
        <v>3</v>
      </c>
      <c r="E98" s="341"/>
      <c r="F98" s="37">
        <f t="shared" si="14"/>
        <v>3</v>
      </c>
      <c r="G98" s="341"/>
      <c r="H98" s="347">
        <v>35000</v>
      </c>
      <c r="I98" s="346">
        <f t="shared" si="15"/>
        <v>0</v>
      </c>
      <c r="J98" s="341"/>
      <c r="K98" s="348">
        <v>50000</v>
      </c>
      <c r="L98" s="32">
        <f t="shared" si="16"/>
        <v>0</v>
      </c>
      <c r="M98" s="34">
        <f t="shared" si="17"/>
        <v>0</v>
      </c>
      <c r="N98" s="34">
        <f t="shared" si="18"/>
        <v>0</v>
      </c>
      <c r="O98" s="34">
        <f t="shared" si="19"/>
        <v>0</v>
      </c>
      <c r="Q98" s="345"/>
    </row>
    <row r="99" ht="22" customHeight="1" spans="1:17">
      <c r="A99" s="25">
        <v>93</v>
      </c>
      <c r="B99" s="1062" t="s">
        <v>959</v>
      </c>
      <c r="C99" s="341" t="s">
        <v>960</v>
      </c>
      <c r="D99" s="37">
        <v>30</v>
      </c>
      <c r="E99" s="341"/>
      <c r="F99" s="37">
        <f t="shared" si="14"/>
        <v>30</v>
      </c>
      <c r="G99" s="341"/>
      <c r="H99" s="347">
        <v>36000</v>
      </c>
      <c r="I99" s="346">
        <f t="shared" si="15"/>
        <v>0</v>
      </c>
      <c r="J99" s="341"/>
      <c r="K99" s="348"/>
      <c r="L99" s="32">
        <f t="shared" si="16"/>
        <v>0</v>
      </c>
      <c r="M99" s="34">
        <f t="shared" si="17"/>
        <v>0</v>
      </c>
      <c r="N99" s="34">
        <f t="shared" si="18"/>
        <v>0</v>
      </c>
      <c r="O99" s="34">
        <f t="shared" si="19"/>
        <v>0</v>
      </c>
      <c r="Q99" s="345"/>
    </row>
    <row r="100" ht="22" customHeight="1" spans="1:17">
      <c r="A100" s="25">
        <v>94</v>
      </c>
      <c r="B100" s="1062" t="s">
        <v>961</v>
      </c>
      <c r="C100" s="341" t="s">
        <v>931</v>
      </c>
      <c r="D100" s="37">
        <v>30</v>
      </c>
      <c r="E100" s="341"/>
      <c r="F100" s="37">
        <f t="shared" si="14"/>
        <v>30</v>
      </c>
      <c r="G100" s="341"/>
      <c r="H100" s="347">
        <v>36000</v>
      </c>
      <c r="I100" s="346">
        <f t="shared" si="15"/>
        <v>0</v>
      </c>
      <c r="J100" s="341"/>
      <c r="K100" s="348"/>
      <c r="L100" s="32">
        <f t="shared" si="16"/>
        <v>0</v>
      </c>
      <c r="M100" s="34">
        <f t="shared" si="17"/>
        <v>0</v>
      </c>
      <c r="N100" s="34">
        <f t="shared" si="18"/>
        <v>0</v>
      </c>
      <c r="O100" s="34">
        <f t="shared" si="19"/>
        <v>0</v>
      </c>
      <c r="Q100" s="345"/>
    </row>
    <row r="101" ht="22" customHeight="1" spans="1:17">
      <c r="A101" s="25">
        <v>95</v>
      </c>
      <c r="B101" s="37"/>
      <c r="C101" s="341"/>
      <c r="D101" s="37">
        <v>0</v>
      </c>
      <c r="E101" s="341"/>
      <c r="F101" s="37">
        <f t="shared" si="14"/>
        <v>0</v>
      </c>
      <c r="G101" s="341"/>
      <c r="H101" s="347"/>
      <c r="I101" s="346">
        <f t="shared" si="15"/>
        <v>0</v>
      </c>
      <c r="J101" s="341"/>
      <c r="K101" s="348"/>
      <c r="L101" s="32">
        <f t="shared" si="16"/>
        <v>0</v>
      </c>
      <c r="M101" s="34">
        <f t="shared" si="17"/>
        <v>0</v>
      </c>
      <c r="N101" s="34">
        <f t="shared" si="18"/>
        <v>0</v>
      </c>
      <c r="O101" s="34">
        <f t="shared" si="19"/>
        <v>0</v>
      </c>
      <c r="Q101" s="345"/>
    </row>
    <row r="102" ht="22" customHeight="1" spans="1:17">
      <c r="A102" s="25">
        <v>96</v>
      </c>
      <c r="B102" s="28"/>
      <c r="C102" s="28"/>
      <c r="D102" s="28">
        <v>0</v>
      </c>
      <c r="E102" s="28"/>
      <c r="F102" s="37">
        <f t="shared" si="14"/>
        <v>0</v>
      </c>
      <c r="G102" s="28"/>
      <c r="H102" s="28"/>
      <c r="I102" s="346">
        <f t="shared" si="15"/>
        <v>0</v>
      </c>
      <c r="J102" s="28"/>
      <c r="K102" s="349"/>
      <c r="L102" s="32">
        <f t="shared" si="16"/>
        <v>0</v>
      </c>
      <c r="M102" s="34">
        <f t="shared" si="17"/>
        <v>0</v>
      </c>
      <c r="N102" s="34">
        <f t="shared" si="18"/>
        <v>0</v>
      </c>
      <c r="O102" s="34">
        <f t="shared" si="19"/>
        <v>0</v>
      </c>
      <c r="Q102" s="345"/>
    </row>
    <row r="103" ht="22" customHeight="1" spans="1:17">
      <c r="A103" s="28" t="s">
        <v>111</v>
      </c>
      <c r="B103" s="28"/>
      <c r="C103" s="28"/>
      <c r="D103" s="28"/>
      <c r="E103" s="28"/>
      <c r="F103" s="28"/>
      <c r="G103" s="28"/>
      <c r="H103" s="28"/>
      <c r="I103" s="350">
        <f>SUM(I7:I100)</f>
        <v>1518280</v>
      </c>
      <c r="J103" s="351">
        <f>SUM(J17:J102)</f>
        <v>33</v>
      </c>
      <c r="K103" s="352"/>
      <c r="L103" s="350">
        <f>SUM(L7:L102)</f>
        <v>2036000</v>
      </c>
      <c r="M103" s="350">
        <f>SUM(M7:M102)</f>
        <v>517720</v>
      </c>
      <c r="N103" s="350">
        <f>SUM(N7:N102)</f>
        <v>362404</v>
      </c>
      <c r="O103" s="350">
        <f>SUM(O7:O102)</f>
        <v>155316</v>
      </c>
      <c r="Q103" s="345"/>
    </row>
    <row r="104" ht="15.25"/>
    <row r="105" spans="1:17">
      <c r="B105" s="353" t="s">
        <v>636</v>
      </c>
      <c r="C105" s="353"/>
      <c r="D105" s="353"/>
      <c r="E105" s="353"/>
      <c r="F105" s="353"/>
      <c r="G105" s="353"/>
      <c r="H105" s="353"/>
      <c r="I105" s="353"/>
      <c r="J105" s="353"/>
      <c r="K105" s="353"/>
      <c r="L105" s="353"/>
      <c r="M105" s="353"/>
      <c r="N105" s="353"/>
      <c r="O105" s="353"/>
      <c r="P105" s="353"/>
    </row>
    <row r="106" spans="1:17">
      <c r="B106" s="354"/>
      <c r="C106" s="353" t="s">
        <v>402</v>
      </c>
      <c r="E106" s="355"/>
      <c r="F106" s="354"/>
      <c r="G106" s="354"/>
      <c r="H106" s="353"/>
      <c r="I106" s="353"/>
      <c r="J106" s="353"/>
      <c r="K106" s="353"/>
      <c r="L106" s="354"/>
      <c r="M106" s="354"/>
      <c r="N106" s="353" t="s">
        <v>401</v>
      </c>
      <c r="O106" s="353"/>
      <c r="P106" s="353"/>
    </row>
    <row r="107" spans="1:17">
      <c r="B107" s="354"/>
      <c r="C107" s="353" t="s">
        <v>638</v>
      </c>
      <c r="E107" s="355"/>
      <c r="F107" s="354"/>
      <c r="H107" s="353" t="s">
        <v>639</v>
      </c>
      <c r="I107" s="353"/>
      <c r="J107" s="353"/>
      <c r="K107" s="353"/>
      <c r="L107" s="355"/>
      <c r="M107" s="353" t="s">
        <v>761</v>
      </c>
      <c r="N107" s="353"/>
      <c r="O107" s="353"/>
      <c r="P107" s="355"/>
    </row>
    <row r="108" spans="1:17">
      <c r="B108" s="354"/>
      <c r="C108" s="355"/>
      <c r="E108" s="356"/>
      <c r="F108" s="354"/>
      <c r="J108" s="6"/>
      <c r="K108" s="356"/>
      <c r="L108" s="354"/>
    </row>
    <row r="109" spans="1:17">
      <c r="B109" s="354"/>
      <c r="C109" s="355"/>
      <c r="E109" s="356"/>
      <c r="F109" s="354"/>
      <c r="J109" s="6"/>
      <c r="K109" s="356"/>
      <c r="L109" s="354"/>
    </row>
    <row r="110" spans="1:17">
      <c r="B110" s="354"/>
      <c r="C110" s="356"/>
      <c r="E110" s="357"/>
      <c r="F110" s="354"/>
      <c r="G110" s="354"/>
      <c r="H110" s="354"/>
      <c r="I110" s="354"/>
      <c r="J110" s="354"/>
      <c r="K110" s="356"/>
      <c r="L110" s="354"/>
      <c r="M110" s="354"/>
      <c r="N110" s="358"/>
      <c r="O110" s="358"/>
    </row>
    <row r="111" spans="1:17">
      <c r="B111" s="354"/>
      <c r="C111" s="357"/>
      <c r="E111" s="357"/>
      <c r="F111" s="354"/>
      <c r="G111" s="354"/>
      <c r="H111" s="354"/>
      <c r="I111" s="354"/>
      <c r="J111" s="354"/>
      <c r="K111" s="356"/>
      <c r="L111" s="354"/>
      <c r="M111" s="354"/>
      <c r="N111" s="358"/>
      <c r="O111" s="358"/>
    </row>
    <row r="112" ht="16" spans="1:17">
      <c r="B112" s="354"/>
      <c r="C112" s="359" t="s">
        <v>962</v>
      </c>
      <c r="E112" s="357"/>
      <c r="F112" s="354"/>
      <c r="G112" s="354"/>
      <c r="H112" s="360"/>
      <c r="I112" s="361" t="s">
        <v>405</v>
      </c>
      <c r="J112" s="362"/>
      <c r="K112" s="360"/>
      <c r="L112" s="354"/>
      <c r="M112" s="359" t="s">
        <v>117</v>
      </c>
      <c r="N112" s="359"/>
      <c r="O112" s="359"/>
      <c r="P112" s="363"/>
    </row>
    <row r="115" spans="2:3">
      <c r="B115" s="7" t="s">
        <v>963</v>
      </c>
      <c r="C115" s="65">
        <v>60000000</v>
      </c>
    </row>
    <row r="116" spans="2:3">
      <c r="C116" s="364">
        <f>C115-I103</f>
        <v>58481720</v>
      </c>
    </row>
  </sheetData>
  <mergeCells count="22">
    <mergeCell ref="A1:O1"/>
    <mergeCell ref="A2:O2"/>
    <mergeCell ref="D4:I4"/>
    <mergeCell ref="J4:L4"/>
    <mergeCell ref="H5:I5"/>
    <mergeCell ref="J5:L5"/>
    <mergeCell ref="A103:H103"/>
    <mergeCell ref="B105:P105"/>
    <mergeCell ref="H107:K107"/>
    <mergeCell ref="M107:O107"/>
    <mergeCell ref="I112:J112"/>
    <mergeCell ref="M112:O112"/>
    <mergeCell ref="A4:A6"/>
    <mergeCell ref="B4:B6"/>
    <mergeCell ref="C4:C6"/>
    <mergeCell ref="D5:D6"/>
    <mergeCell ref="E5:E6"/>
    <mergeCell ref="F5:F6"/>
    <mergeCell ref="G5:G6"/>
    <mergeCell ref="M4:M6"/>
    <mergeCell ref="N4:N6"/>
    <mergeCell ref="O4:O6"/>
  </mergeCells>
  <pageMargins left="0.75" right="0.708661417322835" top="0.8125" bottom="0.748031496062992" header="0.31496062992126" footer="0.31496062992126"/>
  <pageSetup paperSize="5" scale="8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XFD200"/>
  <sheetViews>
    <sheetView view="pageLayout" zoomScale="50" zoomScaleSheetLayoutView="80" zoomScaleNormal="100" topLeftCell="A180" workbookViewId="0">
      <selection activeCell="B116" sqref="B116"/>
    </sheetView>
  </sheetViews>
  <sheetFormatPr defaultColWidth="9" defaultRowHeight="18.5"/>
  <cols>
    <col min="1" max="1" width="4.54545454545455" style="140" customWidth="1"/>
    <col min="2" max="2" width="30.3909090909091" style="140" customWidth="1"/>
    <col min="3" max="3" width="13.9363636363636" style="141" customWidth="1"/>
    <col min="4" max="4" width="9.27272727272727" style="140" customWidth="1"/>
    <col min="5" max="5" width="6.27272727272727" style="140" customWidth="1"/>
    <col min="6" max="6" width="11.5090909090909" style="140" customWidth="1"/>
    <col min="7" max="7" width="15.3272727272727" style="140" customWidth="1"/>
    <col min="8" max="8" width="11.3636363636364" style="140" customWidth="1"/>
    <col min="9" max="9" width="10.7636363636364" style="140" customWidth="1"/>
    <col min="10" max="10" width="13.6363636363636" style="140" customWidth="1"/>
    <col min="11" max="11" width="14.3909090909091" style="140" customWidth="1"/>
    <col min="12" max="12" width="13.7818181818182" style="140" customWidth="1"/>
    <col min="13" max="13" width="14.3909090909091" style="140" customWidth="1"/>
    <col min="14" max="14" width="14.0909090909091" style="140" customWidth="1"/>
    <col min="15" max="15" width="14.5454545454545" style="140" customWidth="1"/>
    <col min="16" max="16" width="15.4545454545455" style="140" customWidth="1"/>
    <col min="17" max="17" width="13.4818181818182" style="140" customWidth="1"/>
    <col min="18" max="18" width="14.4181818181818" style="140" customWidth="1"/>
    <col min="19" max="19" width="12.1363636363636" style="140" customWidth="1"/>
    <col min="20" max="20" width="12.5" style="140" customWidth="1"/>
    <col min="21" max="21" width="12.1363636363636" style="140" customWidth="1"/>
    <col min="22" max="22" width="13.3909090909091" style="140" customWidth="1"/>
    <col min="23" max="23" width="18.9363636363636" style="140" customWidth="1"/>
    <col min="24" max="24" width="21.2090909090909" style="140" customWidth="1"/>
    <col min="25" max="25" width="17.8818181818182" style="140" customWidth="1"/>
    <col min="26" max="26" width="13.2727272727273" style="140"/>
    <col min="27" max="27" width="11.7272727272727" style="140"/>
    <col min="28" max="258" width="9.09090909090909" style="140"/>
    <col min="259" max="259" width="4.54545454545455" style="140" customWidth="1"/>
    <col min="260" max="260" width="25.8181818181818" style="140" customWidth="1"/>
    <col min="261" max="261" width="16.4545454545455" style="140" customWidth="1"/>
    <col min="262" max="262" width="9.27272727272727" style="140" customWidth="1"/>
    <col min="263" max="263" width="6.27272727272727" style="140" customWidth="1"/>
    <col min="264" max="264" width="14.4545454545455" style="140" customWidth="1"/>
    <col min="265" max="265" width="15.5454545454545" style="140" customWidth="1"/>
    <col min="266" max="266" width="10.5454545454545" style="140" customWidth="1"/>
    <col min="267" max="267" width="14.4545454545455" style="140" customWidth="1"/>
    <col min="268" max="268" width="8" style="140" customWidth="1"/>
    <col min="269" max="269" width="16" style="140" customWidth="1"/>
    <col min="270" max="270" width="8.81818181818182" style="140" customWidth="1"/>
    <col min="271" max="271" width="16.8181818181818" style="140" customWidth="1"/>
    <col min="272" max="272" width="9.54545454545454" style="140" customWidth="1"/>
    <col min="273" max="273" width="16.0909090909091" style="140" customWidth="1"/>
    <col min="274" max="274" width="17.8181818181818" style="140" customWidth="1"/>
    <col min="275" max="275" width="14.0909090909091" style="140" customWidth="1"/>
    <col min="276" max="276" width="9.09090909090909" style="140"/>
    <col min="277" max="277" width="15.5454545454545" style="140" customWidth="1"/>
    <col min="278" max="278" width="10.0909090909091" style="140" customWidth="1"/>
    <col min="279" max="279" width="12.8181818181818" style="140" customWidth="1"/>
    <col min="280" max="514" width="9.09090909090909" style="140"/>
    <col min="515" max="515" width="4.54545454545455" style="140" customWidth="1"/>
    <col min="516" max="516" width="25.8181818181818" style="140" customWidth="1"/>
    <col min="517" max="517" width="16.4545454545455" style="140" customWidth="1"/>
    <col min="518" max="518" width="9.27272727272727" style="140" customWidth="1"/>
    <col min="519" max="519" width="6.27272727272727" style="140" customWidth="1"/>
    <col min="520" max="520" width="14.4545454545455" style="140" customWidth="1"/>
    <col min="521" max="521" width="15.5454545454545" style="140" customWidth="1"/>
    <col min="522" max="522" width="10.5454545454545" style="140" customWidth="1"/>
    <col min="523" max="523" width="14.4545454545455" style="140" customWidth="1"/>
    <col min="524" max="524" width="8" style="140" customWidth="1"/>
    <col min="525" max="525" width="16" style="140" customWidth="1"/>
    <col min="526" max="526" width="8.81818181818182" style="140" customWidth="1"/>
    <col min="527" max="527" width="16.8181818181818" style="140" customWidth="1"/>
    <col min="528" max="528" width="9.54545454545454" style="140" customWidth="1"/>
    <col min="529" max="529" width="16.0909090909091" style="140" customWidth="1"/>
    <col min="530" max="530" width="17.8181818181818" style="140" customWidth="1"/>
    <col min="531" max="531" width="14.0909090909091" style="140" customWidth="1"/>
    <col min="532" max="532" width="9.09090909090909" style="140"/>
    <col min="533" max="533" width="15.5454545454545" style="140" customWidth="1"/>
    <col min="534" max="534" width="10.0909090909091" style="140" customWidth="1"/>
    <col min="535" max="535" width="12.8181818181818" style="140" customWidth="1"/>
    <col min="536" max="770" width="9.09090909090909" style="140"/>
    <col min="771" max="771" width="4.54545454545455" style="140" customWidth="1"/>
    <col min="772" max="772" width="25.8181818181818" style="140" customWidth="1"/>
    <col min="773" max="773" width="16.4545454545455" style="140" customWidth="1"/>
    <col min="774" max="774" width="9.27272727272727" style="140" customWidth="1"/>
    <col min="775" max="775" width="6.27272727272727" style="140" customWidth="1"/>
    <col min="776" max="776" width="14.4545454545455" style="140" customWidth="1"/>
    <col min="777" max="777" width="15.5454545454545" style="140" customWidth="1"/>
    <col min="778" max="778" width="10.5454545454545" style="140" customWidth="1"/>
    <col min="779" max="779" width="14.4545454545455" style="140" customWidth="1"/>
    <col min="780" max="780" width="8" style="140" customWidth="1"/>
    <col min="781" max="781" width="16" style="140" customWidth="1"/>
    <col min="782" max="782" width="8.81818181818182" style="140" customWidth="1"/>
    <col min="783" max="783" width="16.8181818181818" style="140" customWidth="1"/>
    <col min="784" max="784" width="9.54545454545454" style="140" customWidth="1"/>
    <col min="785" max="785" width="16.0909090909091" style="140" customWidth="1"/>
    <col min="786" max="786" width="17.8181818181818" style="140" customWidth="1"/>
    <col min="787" max="787" width="14.0909090909091" style="140" customWidth="1"/>
    <col min="788" max="788" width="9.09090909090909" style="140"/>
    <col min="789" max="789" width="15.5454545454545" style="140" customWidth="1"/>
    <col min="790" max="790" width="10.0909090909091" style="140" customWidth="1"/>
    <col min="791" max="791" width="12.8181818181818" style="140" customWidth="1"/>
    <col min="792" max="1026" width="9.09090909090909" style="140"/>
    <col min="1027" max="1027" width="4.54545454545455" style="140" customWidth="1"/>
    <col min="1028" max="1028" width="25.8181818181818" style="140" customWidth="1"/>
    <col min="1029" max="1029" width="16.4545454545455" style="140" customWidth="1"/>
    <col min="1030" max="1030" width="9.27272727272727" style="140" customWidth="1"/>
    <col min="1031" max="1031" width="6.27272727272727" style="140" customWidth="1"/>
    <col min="1032" max="1032" width="14.4545454545455" style="140" customWidth="1"/>
    <col min="1033" max="1033" width="15.5454545454545" style="140" customWidth="1"/>
    <col min="1034" max="1034" width="10.5454545454545" style="140" customWidth="1"/>
    <col min="1035" max="1035" width="14.4545454545455" style="140" customWidth="1"/>
    <col min="1036" max="1036" width="8" style="140" customWidth="1"/>
    <col min="1037" max="1037" width="16" style="140" customWidth="1"/>
    <col min="1038" max="1038" width="8.81818181818182" style="140" customWidth="1"/>
    <col min="1039" max="1039" width="16.8181818181818" style="140" customWidth="1"/>
    <col min="1040" max="1040" width="9.54545454545454" style="140" customWidth="1"/>
    <col min="1041" max="1041" width="16.0909090909091" style="140" customWidth="1"/>
    <col min="1042" max="1042" width="17.8181818181818" style="140" customWidth="1"/>
    <col min="1043" max="1043" width="14.0909090909091" style="140" customWidth="1"/>
    <col min="1044" max="1044" width="9.09090909090909" style="140"/>
    <col min="1045" max="1045" width="15.5454545454545" style="140" customWidth="1"/>
    <col min="1046" max="1046" width="10.0909090909091" style="140" customWidth="1"/>
    <col min="1047" max="1047" width="12.8181818181818" style="140" customWidth="1"/>
    <col min="1048" max="1282" width="9.09090909090909" style="140"/>
    <col min="1283" max="1283" width="4.54545454545455" style="140" customWidth="1"/>
    <col min="1284" max="1284" width="25.8181818181818" style="140" customWidth="1"/>
    <col min="1285" max="1285" width="16.4545454545455" style="140" customWidth="1"/>
    <col min="1286" max="1286" width="9.27272727272727" style="140" customWidth="1"/>
    <col min="1287" max="1287" width="6.27272727272727" style="140" customWidth="1"/>
    <col min="1288" max="1288" width="14.4545454545455" style="140" customWidth="1"/>
    <col min="1289" max="1289" width="15.5454545454545" style="140" customWidth="1"/>
    <col min="1290" max="1290" width="10.5454545454545" style="140" customWidth="1"/>
    <col min="1291" max="1291" width="14.4545454545455" style="140" customWidth="1"/>
    <col min="1292" max="1292" width="8" style="140" customWidth="1"/>
    <col min="1293" max="1293" width="16" style="140" customWidth="1"/>
    <col min="1294" max="1294" width="8.81818181818182" style="140" customWidth="1"/>
    <col min="1295" max="1295" width="16.8181818181818" style="140" customWidth="1"/>
    <col min="1296" max="1296" width="9.54545454545454" style="140" customWidth="1"/>
    <col min="1297" max="1297" width="16.0909090909091" style="140" customWidth="1"/>
    <col min="1298" max="1298" width="17.8181818181818" style="140" customWidth="1"/>
    <col min="1299" max="1299" width="14.0909090909091" style="140" customWidth="1"/>
    <col min="1300" max="1300" width="9.09090909090909" style="140"/>
    <col min="1301" max="1301" width="15.5454545454545" style="140" customWidth="1"/>
    <col min="1302" max="1302" width="10.0909090909091" style="140" customWidth="1"/>
    <col min="1303" max="1303" width="12.8181818181818" style="140" customWidth="1"/>
    <col min="1304" max="1538" width="9.09090909090909" style="140"/>
    <col min="1539" max="1539" width="4.54545454545455" style="140" customWidth="1"/>
    <col min="1540" max="1540" width="25.8181818181818" style="140" customWidth="1"/>
    <col min="1541" max="1541" width="16.4545454545455" style="140" customWidth="1"/>
    <col min="1542" max="1542" width="9.27272727272727" style="140" customWidth="1"/>
    <col min="1543" max="1543" width="6.27272727272727" style="140" customWidth="1"/>
    <col min="1544" max="1544" width="14.4545454545455" style="140" customWidth="1"/>
    <col min="1545" max="1545" width="15.5454545454545" style="140" customWidth="1"/>
    <col min="1546" max="1546" width="10.5454545454545" style="140" customWidth="1"/>
    <col min="1547" max="1547" width="14.4545454545455" style="140" customWidth="1"/>
    <col min="1548" max="1548" width="8" style="140" customWidth="1"/>
    <col min="1549" max="1549" width="16" style="140" customWidth="1"/>
    <col min="1550" max="1550" width="8.81818181818182" style="140" customWidth="1"/>
    <col min="1551" max="1551" width="16.8181818181818" style="140" customWidth="1"/>
    <col min="1552" max="1552" width="9.54545454545454" style="140" customWidth="1"/>
    <col min="1553" max="1553" width="16.0909090909091" style="140" customWidth="1"/>
    <col min="1554" max="1554" width="17.8181818181818" style="140" customWidth="1"/>
    <col min="1555" max="1555" width="14.0909090909091" style="140" customWidth="1"/>
    <col min="1556" max="1556" width="9.09090909090909" style="140"/>
    <col min="1557" max="1557" width="15.5454545454545" style="140" customWidth="1"/>
    <col min="1558" max="1558" width="10.0909090909091" style="140" customWidth="1"/>
    <col min="1559" max="1559" width="12.8181818181818" style="140" customWidth="1"/>
    <col min="1560" max="1794" width="9.09090909090909" style="140"/>
    <col min="1795" max="1795" width="4.54545454545455" style="140" customWidth="1"/>
    <col min="1796" max="1796" width="25.8181818181818" style="140" customWidth="1"/>
    <col min="1797" max="1797" width="16.4545454545455" style="140" customWidth="1"/>
    <col min="1798" max="1798" width="9.27272727272727" style="140" customWidth="1"/>
    <col min="1799" max="1799" width="6.27272727272727" style="140" customWidth="1"/>
    <col min="1800" max="1800" width="14.4545454545455" style="140" customWidth="1"/>
    <col min="1801" max="1801" width="15.5454545454545" style="140" customWidth="1"/>
    <col min="1802" max="1802" width="10.5454545454545" style="140" customWidth="1"/>
    <col min="1803" max="1803" width="14.4545454545455" style="140" customWidth="1"/>
    <col min="1804" max="1804" width="8" style="140" customWidth="1"/>
    <col min="1805" max="1805" width="16" style="140" customWidth="1"/>
    <col min="1806" max="1806" width="8.81818181818182" style="140" customWidth="1"/>
    <col min="1807" max="1807" width="16.8181818181818" style="140" customWidth="1"/>
    <col min="1808" max="1808" width="9.54545454545454" style="140" customWidth="1"/>
    <col min="1809" max="1809" width="16.0909090909091" style="140" customWidth="1"/>
    <col min="1810" max="1810" width="17.8181818181818" style="140" customWidth="1"/>
    <col min="1811" max="1811" width="14.0909090909091" style="140" customWidth="1"/>
    <col min="1812" max="1812" width="9.09090909090909" style="140"/>
    <col min="1813" max="1813" width="15.5454545454545" style="140" customWidth="1"/>
    <col min="1814" max="1814" width="10.0909090909091" style="140" customWidth="1"/>
    <col min="1815" max="1815" width="12.8181818181818" style="140" customWidth="1"/>
    <col min="1816" max="2050" width="9.09090909090909" style="140"/>
    <col min="2051" max="2051" width="4.54545454545455" style="140" customWidth="1"/>
    <col min="2052" max="2052" width="25.8181818181818" style="140" customWidth="1"/>
    <col min="2053" max="2053" width="16.4545454545455" style="140" customWidth="1"/>
    <col min="2054" max="2054" width="9.27272727272727" style="140" customWidth="1"/>
    <col min="2055" max="2055" width="6.27272727272727" style="140" customWidth="1"/>
    <col min="2056" max="2056" width="14.4545454545455" style="140" customWidth="1"/>
    <col min="2057" max="2057" width="15.5454545454545" style="140" customWidth="1"/>
    <col min="2058" max="2058" width="10.5454545454545" style="140" customWidth="1"/>
    <col min="2059" max="2059" width="14.4545454545455" style="140" customWidth="1"/>
    <col min="2060" max="2060" width="8" style="140" customWidth="1"/>
    <col min="2061" max="2061" width="16" style="140" customWidth="1"/>
    <col min="2062" max="2062" width="8.81818181818182" style="140" customWidth="1"/>
    <col min="2063" max="2063" width="16.8181818181818" style="140" customWidth="1"/>
    <col min="2064" max="2064" width="9.54545454545454" style="140" customWidth="1"/>
    <col min="2065" max="2065" width="16.0909090909091" style="140" customWidth="1"/>
    <col min="2066" max="2066" width="17.8181818181818" style="140" customWidth="1"/>
    <col min="2067" max="2067" width="14.0909090909091" style="140" customWidth="1"/>
    <col min="2068" max="2068" width="9.09090909090909" style="140"/>
    <col min="2069" max="2069" width="15.5454545454545" style="140" customWidth="1"/>
    <col min="2070" max="2070" width="10.0909090909091" style="140" customWidth="1"/>
    <col min="2071" max="2071" width="12.8181818181818" style="140" customWidth="1"/>
    <col min="2072" max="2306" width="9.09090909090909" style="140"/>
    <col min="2307" max="2307" width="4.54545454545455" style="140" customWidth="1"/>
    <col min="2308" max="2308" width="25.8181818181818" style="140" customWidth="1"/>
    <col min="2309" max="2309" width="16.4545454545455" style="140" customWidth="1"/>
    <col min="2310" max="2310" width="9.27272727272727" style="140" customWidth="1"/>
    <col min="2311" max="2311" width="6.27272727272727" style="140" customWidth="1"/>
    <col min="2312" max="2312" width="14.4545454545455" style="140" customWidth="1"/>
    <col min="2313" max="2313" width="15.5454545454545" style="140" customWidth="1"/>
    <col min="2314" max="2314" width="10.5454545454545" style="140" customWidth="1"/>
    <col min="2315" max="2315" width="14.4545454545455" style="140" customWidth="1"/>
    <col min="2316" max="2316" width="8" style="140" customWidth="1"/>
    <col min="2317" max="2317" width="16" style="140" customWidth="1"/>
    <col min="2318" max="2318" width="8.81818181818182" style="140" customWidth="1"/>
    <col min="2319" max="2319" width="16.8181818181818" style="140" customWidth="1"/>
    <col min="2320" max="2320" width="9.54545454545454" style="140" customWidth="1"/>
    <col min="2321" max="2321" width="16.0909090909091" style="140" customWidth="1"/>
    <col min="2322" max="2322" width="17.8181818181818" style="140" customWidth="1"/>
    <col min="2323" max="2323" width="14.0909090909091" style="140" customWidth="1"/>
    <col min="2324" max="2324" width="9.09090909090909" style="140"/>
    <col min="2325" max="2325" width="15.5454545454545" style="140" customWidth="1"/>
    <col min="2326" max="2326" width="10.0909090909091" style="140" customWidth="1"/>
    <col min="2327" max="2327" width="12.8181818181818" style="140" customWidth="1"/>
    <col min="2328" max="2562" width="9.09090909090909" style="140"/>
    <col min="2563" max="2563" width="4.54545454545455" style="140" customWidth="1"/>
    <col min="2564" max="2564" width="25.8181818181818" style="140" customWidth="1"/>
    <col min="2565" max="2565" width="16.4545454545455" style="140" customWidth="1"/>
    <col min="2566" max="2566" width="9.27272727272727" style="140" customWidth="1"/>
    <col min="2567" max="2567" width="6.27272727272727" style="140" customWidth="1"/>
    <col min="2568" max="2568" width="14.4545454545455" style="140" customWidth="1"/>
    <col min="2569" max="2569" width="15.5454545454545" style="140" customWidth="1"/>
    <col min="2570" max="2570" width="10.5454545454545" style="140" customWidth="1"/>
    <col min="2571" max="2571" width="14.4545454545455" style="140" customWidth="1"/>
    <col min="2572" max="2572" width="8" style="140" customWidth="1"/>
    <col min="2573" max="2573" width="16" style="140" customWidth="1"/>
    <col min="2574" max="2574" width="8.81818181818182" style="140" customWidth="1"/>
    <col min="2575" max="2575" width="16.8181818181818" style="140" customWidth="1"/>
    <col min="2576" max="2576" width="9.54545454545454" style="140" customWidth="1"/>
    <col min="2577" max="2577" width="16.0909090909091" style="140" customWidth="1"/>
    <col min="2578" max="2578" width="17.8181818181818" style="140" customWidth="1"/>
    <col min="2579" max="2579" width="14.0909090909091" style="140" customWidth="1"/>
    <col min="2580" max="2580" width="9.09090909090909" style="140"/>
    <col min="2581" max="2581" width="15.5454545454545" style="140" customWidth="1"/>
    <col min="2582" max="2582" width="10.0909090909091" style="140" customWidth="1"/>
    <col min="2583" max="2583" width="12.8181818181818" style="140" customWidth="1"/>
    <col min="2584" max="2818" width="9.09090909090909" style="140"/>
    <col min="2819" max="2819" width="4.54545454545455" style="140" customWidth="1"/>
    <col min="2820" max="2820" width="25.8181818181818" style="140" customWidth="1"/>
    <col min="2821" max="2821" width="16.4545454545455" style="140" customWidth="1"/>
    <col min="2822" max="2822" width="9.27272727272727" style="140" customWidth="1"/>
    <col min="2823" max="2823" width="6.27272727272727" style="140" customWidth="1"/>
    <col min="2824" max="2824" width="14.4545454545455" style="140" customWidth="1"/>
    <col min="2825" max="2825" width="15.5454545454545" style="140" customWidth="1"/>
    <col min="2826" max="2826" width="10.5454545454545" style="140" customWidth="1"/>
    <col min="2827" max="2827" width="14.4545454545455" style="140" customWidth="1"/>
    <col min="2828" max="2828" width="8" style="140" customWidth="1"/>
    <col min="2829" max="2829" width="16" style="140" customWidth="1"/>
    <col min="2830" max="2830" width="8.81818181818182" style="140" customWidth="1"/>
    <col min="2831" max="2831" width="16.8181818181818" style="140" customWidth="1"/>
    <col min="2832" max="2832" width="9.54545454545454" style="140" customWidth="1"/>
    <col min="2833" max="2833" width="16.0909090909091" style="140" customWidth="1"/>
    <col min="2834" max="2834" width="17.8181818181818" style="140" customWidth="1"/>
    <col min="2835" max="2835" width="14.0909090909091" style="140" customWidth="1"/>
    <col min="2836" max="2836" width="9.09090909090909" style="140"/>
    <col min="2837" max="2837" width="15.5454545454545" style="140" customWidth="1"/>
    <col min="2838" max="2838" width="10.0909090909091" style="140" customWidth="1"/>
    <col min="2839" max="2839" width="12.8181818181818" style="140" customWidth="1"/>
    <col min="2840" max="3074" width="9.09090909090909" style="140"/>
    <col min="3075" max="3075" width="4.54545454545455" style="140" customWidth="1"/>
    <col min="3076" max="3076" width="25.8181818181818" style="140" customWidth="1"/>
    <col min="3077" max="3077" width="16.4545454545455" style="140" customWidth="1"/>
    <col min="3078" max="3078" width="9.27272727272727" style="140" customWidth="1"/>
    <col min="3079" max="3079" width="6.27272727272727" style="140" customWidth="1"/>
    <col min="3080" max="3080" width="14.4545454545455" style="140" customWidth="1"/>
    <col min="3081" max="3081" width="15.5454545454545" style="140" customWidth="1"/>
    <col min="3082" max="3082" width="10.5454545454545" style="140" customWidth="1"/>
    <col min="3083" max="3083" width="14.4545454545455" style="140" customWidth="1"/>
    <col min="3084" max="3084" width="8" style="140" customWidth="1"/>
    <col min="3085" max="3085" width="16" style="140" customWidth="1"/>
    <col min="3086" max="3086" width="8.81818181818182" style="140" customWidth="1"/>
    <col min="3087" max="3087" width="16.8181818181818" style="140" customWidth="1"/>
    <col min="3088" max="3088" width="9.54545454545454" style="140" customWidth="1"/>
    <col min="3089" max="3089" width="16.0909090909091" style="140" customWidth="1"/>
    <col min="3090" max="3090" width="17.8181818181818" style="140" customWidth="1"/>
    <col min="3091" max="3091" width="14.0909090909091" style="140" customWidth="1"/>
    <col min="3092" max="3092" width="9.09090909090909" style="140"/>
    <col min="3093" max="3093" width="15.5454545454545" style="140" customWidth="1"/>
    <col min="3094" max="3094" width="10.0909090909091" style="140" customWidth="1"/>
    <col min="3095" max="3095" width="12.8181818181818" style="140" customWidth="1"/>
    <col min="3096" max="3330" width="9.09090909090909" style="140"/>
    <col min="3331" max="3331" width="4.54545454545455" style="140" customWidth="1"/>
    <col min="3332" max="3332" width="25.8181818181818" style="140" customWidth="1"/>
    <col min="3333" max="3333" width="16.4545454545455" style="140" customWidth="1"/>
    <col min="3334" max="3334" width="9.27272727272727" style="140" customWidth="1"/>
    <col min="3335" max="3335" width="6.27272727272727" style="140" customWidth="1"/>
    <col min="3336" max="3336" width="14.4545454545455" style="140" customWidth="1"/>
    <col min="3337" max="3337" width="15.5454545454545" style="140" customWidth="1"/>
    <col min="3338" max="3338" width="10.5454545454545" style="140" customWidth="1"/>
    <col min="3339" max="3339" width="14.4545454545455" style="140" customWidth="1"/>
    <col min="3340" max="3340" width="8" style="140" customWidth="1"/>
    <col min="3341" max="3341" width="16" style="140" customWidth="1"/>
    <col min="3342" max="3342" width="8.81818181818182" style="140" customWidth="1"/>
    <col min="3343" max="3343" width="16.8181818181818" style="140" customWidth="1"/>
    <col min="3344" max="3344" width="9.54545454545454" style="140" customWidth="1"/>
    <col min="3345" max="3345" width="16.0909090909091" style="140" customWidth="1"/>
    <col min="3346" max="3346" width="17.8181818181818" style="140" customWidth="1"/>
    <col min="3347" max="3347" width="14.0909090909091" style="140" customWidth="1"/>
    <col min="3348" max="3348" width="9.09090909090909" style="140"/>
    <col min="3349" max="3349" width="15.5454545454545" style="140" customWidth="1"/>
    <col min="3350" max="3350" width="10.0909090909091" style="140" customWidth="1"/>
    <col min="3351" max="3351" width="12.8181818181818" style="140" customWidth="1"/>
    <col min="3352" max="3586" width="9.09090909090909" style="140"/>
    <col min="3587" max="3587" width="4.54545454545455" style="140" customWidth="1"/>
    <col min="3588" max="3588" width="25.8181818181818" style="140" customWidth="1"/>
    <col min="3589" max="3589" width="16.4545454545455" style="140" customWidth="1"/>
    <col min="3590" max="3590" width="9.27272727272727" style="140" customWidth="1"/>
    <col min="3591" max="3591" width="6.27272727272727" style="140" customWidth="1"/>
    <col min="3592" max="3592" width="14.4545454545455" style="140" customWidth="1"/>
    <col min="3593" max="3593" width="15.5454545454545" style="140" customWidth="1"/>
    <col min="3594" max="3594" width="10.5454545454545" style="140" customWidth="1"/>
    <col min="3595" max="3595" width="14.4545454545455" style="140" customWidth="1"/>
    <col min="3596" max="3596" width="8" style="140" customWidth="1"/>
    <col min="3597" max="3597" width="16" style="140" customWidth="1"/>
    <col min="3598" max="3598" width="8.81818181818182" style="140" customWidth="1"/>
    <col min="3599" max="3599" width="16.8181818181818" style="140" customWidth="1"/>
    <col min="3600" max="3600" width="9.54545454545454" style="140" customWidth="1"/>
    <col min="3601" max="3601" width="16.0909090909091" style="140" customWidth="1"/>
    <col min="3602" max="3602" width="17.8181818181818" style="140" customWidth="1"/>
    <col min="3603" max="3603" width="14.0909090909091" style="140" customWidth="1"/>
    <col min="3604" max="3604" width="9.09090909090909" style="140"/>
    <col min="3605" max="3605" width="15.5454545454545" style="140" customWidth="1"/>
    <col min="3606" max="3606" width="10.0909090909091" style="140" customWidth="1"/>
    <col min="3607" max="3607" width="12.8181818181818" style="140" customWidth="1"/>
    <col min="3608" max="3842" width="9.09090909090909" style="140"/>
    <col min="3843" max="3843" width="4.54545454545455" style="140" customWidth="1"/>
    <col min="3844" max="3844" width="25.8181818181818" style="140" customWidth="1"/>
    <col min="3845" max="3845" width="16.4545454545455" style="140" customWidth="1"/>
    <col min="3846" max="3846" width="9.27272727272727" style="140" customWidth="1"/>
    <col min="3847" max="3847" width="6.27272727272727" style="140" customWidth="1"/>
    <col min="3848" max="3848" width="14.4545454545455" style="140" customWidth="1"/>
    <col min="3849" max="3849" width="15.5454545454545" style="140" customWidth="1"/>
    <col min="3850" max="3850" width="10.5454545454545" style="140" customWidth="1"/>
    <col min="3851" max="3851" width="14.4545454545455" style="140" customWidth="1"/>
    <col min="3852" max="3852" width="8" style="140" customWidth="1"/>
    <col min="3853" max="3853" width="16" style="140" customWidth="1"/>
    <col min="3854" max="3854" width="8.81818181818182" style="140" customWidth="1"/>
    <col min="3855" max="3855" width="16.8181818181818" style="140" customWidth="1"/>
    <col min="3856" max="3856" width="9.54545454545454" style="140" customWidth="1"/>
    <col min="3857" max="3857" width="16.0909090909091" style="140" customWidth="1"/>
    <col min="3858" max="3858" width="17.8181818181818" style="140" customWidth="1"/>
    <col min="3859" max="3859" width="14.0909090909091" style="140" customWidth="1"/>
    <col min="3860" max="3860" width="9.09090909090909" style="140"/>
    <col min="3861" max="3861" width="15.5454545454545" style="140" customWidth="1"/>
    <col min="3862" max="3862" width="10.0909090909091" style="140" customWidth="1"/>
    <col min="3863" max="3863" width="12.8181818181818" style="140" customWidth="1"/>
    <col min="3864" max="4098" width="9.09090909090909" style="140"/>
    <col min="4099" max="4099" width="4.54545454545455" style="140" customWidth="1"/>
    <col min="4100" max="4100" width="25.8181818181818" style="140" customWidth="1"/>
    <col min="4101" max="4101" width="16.4545454545455" style="140" customWidth="1"/>
    <col min="4102" max="4102" width="9.27272727272727" style="140" customWidth="1"/>
    <col min="4103" max="4103" width="6.27272727272727" style="140" customWidth="1"/>
    <col min="4104" max="4104" width="14.4545454545455" style="140" customWidth="1"/>
    <col min="4105" max="4105" width="15.5454545454545" style="140" customWidth="1"/>
    <col min="4106" max="4106" width="10.5454545454545" style="140" customWidth="1"/>
    <col min="4107" max="4107" width="14.4545454545455" style="140" customWidth="1"/>
    <col min="4108" max="4108" width="8" style="140" customWidth="1"/>
    <col min="4109" max="4109" width="16" style="140" customWidth="1"/>
    <col min="4110" max="4110" width="8.81818181818182" style="140" customWidth="1"/>
    <col min="4111" max="4111" width="16.8181818181818" style="140" customWidth="1"/>
    <col min="4112" max="4112" width="9.54545454545454" style="140" customWidth="1"/>
    <col min="4113" max="4113" width="16.0909090909091" style="140" customWidth="1"/>
    <col min="4114" max="4114" width="17.8181818181818" style="140" customWidth="1"/>
    <col min="4115" max="4115" width="14.0909090909091" style="140" customWidth="1"/>
    <col min="4116" max="4116" width="9.09090909090909" style="140"/>
    <col min="4117" max="4117" width="15.5454545454545" style="140" customWidth="1"/>
    <col min="4118" max="4118" width="10.0909090909091" style="140" customWidth="1"/>
    <col min="4119" max="4119" width="12.8181818181818" style="140" customWidth="1"/>
    <col min="4120" max="4354" width="9.09090909090909" style="140"/>
    <col min="4355" max="4355" width="4.54545454545455" style="140" customWidth="1"/>
    <col min="4356" max="4356" width="25.8181818181818" style="140" customWidth="1"/>
    <col min="4357" max="4357" width="16.4545454545455" style="140" customWidth="1"/>
    <col min="4358" max="4358" width="9.27272727272727" style="140" customWidth="1"/>
    <col min="4359" max="4359" width="6.27272727272727" style="140" customWidth="1"/>
    <col min="4360" max="4360" width="14.4545454545455" style="140" customWidth="1"/>
    <col min="4361" max="4361" width="15.5454545454545" style="140" customWidth="1"/>
    <col min="4362" max="4362" width="10.5454545454545" style="140" customWidth="1"/>
    <col min="4363" max="4363" width="14.4545454545455" style="140" customWidth="1"/>
    <col min="4364" max="4364" width="8" style="140" customWidth="1"/>
    <col min="4365" max="4365" width="16" style="140" customWidth="1"/>
    <col min="4366" max="4366" width="8.81818181818182" style="140" customWidth="1"/>
    <col min="4367" max="4367" width="16.8181818181818" style="140" customWidth="1"/>
    <col min="4368" max="4368" width="9.54545454545454" style="140" customWidth="1"/>
    <col min="4369" max="4369" width="16.0909090909091" style="140" customWidth="1"/>
    <col min="4370" max="4370" width="17.8181818181818" style="140" customWidth="1"/>
    <col min="4371" max="4371" width="14.0909090909091" style="140" customWidth="1"/>
    <col min="4372" max="4372" width="9.09090909090909" style="140"/>
    <col min="4373" max="4373" width="15.5454545454545" style="140" customWidth="1"/>
    <col min="4374" max="4374" width="10.0909090909091" style="140" customWidth="1"/>
    <col min="4375" max="4375" width="12.8181818181818" style="140" customWidth="1"/>
    <col min="4376" max="4610" width="9.09090909090909" style="140"/>
    <col min="4611" max="4611" width="4.54545454545455" style="140" customWidth="1"/>
    <col min="4612" max="4612" width="25.8181818181818" style="140" customWidth="1"/>
    <col min="4613" max="4613" width="16.4545454545455" style="140" customWidth="1"/>
    <col min="4614" max="4614" width="9.27272727272727" style="140" customWidth="1"/>
    <col min="4615" max="4615" width="6.27272727272727" style="140" customWidth="1"/>
    <col min="4616" max="4616" width="14.4545454545455" style="140" customWidth="1"/>
    <col min="4617" max="4617" width="15.5454545454545" style="140" customWidth="1"/>
    <col min="4618" max="4618" width="10.5454545454545" style="140" customWidth="1"/>
    <col min="4619" max="4619" width="14.4545454545455" style="140" customWidth="1"/>
    <col min="4620" max="4620" width="8" style="140" customWidth="1"/>
    <col min="4621" max="4621" width="16" style="140" customWidth="1"/>
    <col min="4622" max="4622" width="8.81818181818182" style="140" customWidth="1"/>
    <col min="4623" max="4623" width="16.8181818181818" style="140" customWidth="1"/>
    <col min="4624" max="4624" width="9.54545454545454" style="140" customWidth="1"/>
    <col min="4625" max="4625" width="16.0909090909091" style="140" customWidth="1"/>
    <col min="4626" max="4626" width="17.8181818181818" style="140" customWidth="1"/>
    <col min="4627" max="4627" width="14.0909090909091" style="140" customWidth="1"/>
    <col min="4628" max="4628" width="9.09090909090909" style="140"/>
    <col min="4629" max="4629" width="15.5454545454545" style="140" customWidth="1"/>
    <col min="4630" max="4630" width="10.0909090909091" style="140" customWidth="1"/>
    <col min="4631" max="4631" width="12.8181818181818" style="140" customWidth="1"/>
    <col min="4632" max="4866" width="9.09090909090909" style="140"/>
    <col min="4867" max="4867" width="4.54545454545455" style="140" customWidth="1"/>
    <col min="4868" max="4868" width="25.8181818181818" style="140" customWidth="1"/>
    <col min="4869" max="4869" width="16.4545454545455" style="140" customWidth="1"/>
    <col min="4870" max="4870" width="9.27272727272727" style="140" customWidth="1"/>
    <col min="4871" max="4871" width="6.27272727272727" style="140" customWidth="1"/>
    <col min="4872" max="4872" width="14.4545454545455" style="140" customWidth="1"/>
    <col min="4873" max="4873" width="15.5454545454545" style="140" customWidth="1"/>
    <col min="4874" max="4874" width="10.5454545454545" style="140" customWidth="1"/>
    <col min="4875" max="4875" width="14.4545454545455" style="140" customWidth="1"/>
    <col min="4876" max="4876" width="8" style="140" customWidth="1"/>
    <col min="4877" max="4877" width="16" style="140" customWidth="1"/>
    <col min="4878" max="4878" width="8.81818181818182" style="140" customWidth="1"/>
    <col min="4879" max="4879" width="16.8181818181818" style="140" customWidth="1"/>
    <col min="4880" max="4880" width="9.54545454545454" style="140" customWidth="1"/>
    <col min="4881" max="4881" width="16.0909090909091" style="140" customWidth="1"/>
    <col min="4882" max="4882" width="17.8181818181818" style="140" customWidth="1"/>
    <col min="4883" max="4883" width="14.0909090909091" style="140" customWidth="1"/>
    <col min="4884" max="4884" width="9.09090909090909" style="140"/>
    <col min="4885" max="4885" width="15.5454545454545" style="140" customWidth="1"/>
    <col min="4886" max="4886" width="10.0909090909091" style="140" customWidth="1"/>
    <col min="4887" max="4887" width="12.8181818181818" style="140" customWidth="1"/>
    <col min="4888" max="5122" width="9.09090909090909" style="140"/>
    <col min="5123" max="5123" width="4.54545454545455" style="140" customWidth="1"/>
    <col min="5124" max="5124" width="25.8181818181818" style="140" customWidth="1"/>
    <col min="5125" max="5125" width="16.4545454545455" style="140" customWidth="1"/>
    <col min="5126" max="5126" width="9.27272727272727" style="140" customWidth="1"/>
    <col min="5127" max="5127" width="6.27272727272727" style="140" customWidth="1"/>
    <col min="5128" max="5128" width="14.4545454545455" style="140" customWidth="1"/>
    <col min="5129" max="5129" width="15.5454545454545" style="140" customWidth="1"/>
    <col min="5130" max="5130" width="10.5454545454545" style="140" customWidth="1"/>
    <col min="5131" max="5131" width="14.4545454545455" style="140" customWidth="1"/>
    <col min="5132" max="5132" width="8" style="140" customWidth="1"/>
    <col min="5133" max="5133" width="16" style="140" customWidth="1"/>
    <col min="5134" max="5134" width="8.81818181818182" style="140" customWidth="1"/>
    <col min="5135" max="5135" width="16.8181818181818" style="140" customWidth="1"/>
    <col min="5136" max="5136" width="9.54545454545454" style="140" customWidth="1"/>
    <col min="5137" max="5137" width="16.0909090909091" style="140" customWidth="1"/>
    <col min="5138" max="5138" width="17.8181818181818" style="140" customWidth="1"/>
    <col min="5139" max="5139" width="14.0909090909091" style="140" customWidth="1"/>
    <col min="5140" max="5140" width="9.09090909090909" style="140"/>
    <col min="5141" max="5141" width="15.5454545454545" style="140" customWidth="1"/>
    <col min="5142" max="5142" width="10.0909090909091" style="140" customWidth="1"/>
    <col min="5143" max="5143" width="12.8181818181818" style="140" customWidth="1"/>
    <col min="5144" max="5378" width="9.09090909090909" style="140"/>
    <col min="5379" max="5379" width="4.54545454545455" style="140" customWidth="1"/>
    <col min="5380" max="5380" width="25.8181818181818" style="140" customWidth="1"/>
    <col min="5381" max="5381" width="16.4545454545455" style="140" customWidth="1"/>
    <col min="5382" max="5382" width="9.27272727272727" style="140" customWidth="1"/>
    <col min="5383" max="5383" width="6.27272727272727" style="140" customWidth="1"/>
    <col min="5384" max="5384" width="14.4545454545455" style="140" customWidth="1"/>
    <col min="5385" max="5385" width="15.5454545454545" style="140" customWidth="1"/>
    <col min="5386" max="5386" width="10.5454545454545" style="140" customWidth="1"/>
    <col min="5387" max="5387" width="14.4545454545455" style="140" customWidth="1"/>
    <col min="5388" max="5388" width="8" style="140" customWidth="1"/>
    <col min="5389" max="5389" width="16" style="140" customWidth="1"/>
    <col min="5390" max="5390" width="8.81818181818182" style="140" customWidth="1"/>
    <col min="5391" max="5391" width="16.8181818181818" style="140" customWidth="1"/>
    <col min="5392" max="5392" width="9.54545454545454" style="140" customWidth="1"/>
    <col min="5393" max="5393" width="16.0909090909091" style="140" customWidth="1"/>
    <col min="5394" max="5394" width="17.8181818181818" style="140" customWidth="1"/>
    <col min="5395" max="5395" width="14.0909090909091" style="140" customWidth="1"/>
    <col min="5396" max="5396" width="9.09090909090909" style="140"/>
    <col min="5397" max="5397" width="15.5454545454545" style="140" customWidth="1"/>
    <col min="5398" max="5398" width="10.0909090909091" style="140" customWidth="1"/>
    <col min="5399" max="5399" width="12.8181818181818" style="140" customWidth="1"/>
    <col min="5400" max="5634" width="9.09090909090909" style="140"/>
    <col min="5635" max="5635" width="4.54545454545455" style="140" customWidth="1"/>
    <col min="5636" max="5636" width="25.8181818181818" style="140" customWidth="1"/>
    <col min="5637" max="5637" width="16.4545454545455" style="140" customWidth="1"/>
    <col min="5638" max="5638" width="9.27272727272727" style="140" customWidth="1"/>
    <col min="5639" max="5639" width="6.27272727272727" style="140" customWidth="1"/>
    <col min="5640" max="5640" width="14.4545454545455" style="140" customWidth="1"/>
    <col min="5641" max="5641" width="15.5454545454545" style="140" customWidth="1"/>
    <col min="5642" max="5642" width="10.5454545454545" style="140" customWidth="1"/>
    <col min="5643" max="5643" width="14.4545454545455" style="140" customWidth="1"/>
    <col min="5644" max="5644" width="8" style="140" customWidth="1"/>
    <col min="5645" max="5645" width="16" style="140" customWidth="1"/>
    <col min="5646" max="5646" width="8.81818181818182" style="140" customWidth="1"/>
    <col min="5647" max="5647" width="16.8181818181818" style="140" customWidth="1"/>
    <col min="5648" max="5648" width="9.54545454545454" style="140" customWidth="1"/>
    <col min="5649" max="5649" width="16.0909090909091" style="140" customWidth="1"/>
    <col min="5650" max="5650" width="17.8181818181818" style="140" customWidth="1"/>
    <col min="5651" max="5651" width="14.0909090909091" style="140" customWidth="1"/>
    <col min="5652" max="5652" width="9.09090909090909" style="140"/>
    <col min="5653" max="5653" width="15.5454545454545" style="140" customWidth="1"/>
    <col min="5654" max="5654" width="10.0909090909091" style="140" customWidth="1"/>
    <col min="5655" max="5655" width="12.8181818181818" style="140" customWidth="1"/>
    <col min="5656" max="5890" width="9.09090909090909" style="140"/>
    <col min="5891" max="5891" width="4.54545454545455" style="140" customWidth="1"/>
    <col min="5892" max="5892" width="25.8181818181818" style="140" customWidth="1"/>
    <col min="5893" max="5893" width="16.4545454545455" style="140" customWidth="1"/>
    <col min="5894" max="5894" width="9.27272727272727" style="140" customWidth="1"/>
    <col min="5895" max="5895" width="6.27272727272727" style="140" customWidth="1"/>
    <col min="5896" max="5896" width="14.4545454545455" style="140" customWidth="1"/>
    <col min="5897" max="5897" width="15.5454545454545" style="140" customWidth="1"/>
    <col min="5898" max="5898" width="10.5454545454545" style="140" customWidth="1"/>
    <col min="5899" max="5899" width="14.4545454545455" style="140" customWidth="1"/>
    <col min="5900" max="5900" width="8" style="140" customWidth="1"/>
    <col min="5901" max="5901" width="16" style="140" customWidth="1"/>
    <col min="5902" max="5902" width="8.81818181818182" style="140" customWidth="1"/>
    <col min="5903" max="5903" width="16.8181818181818" style="140" customWidth="1"/>
    <col min="5904" max="5904" width="9.54545454545454" style="140" customWidth="1"/>
    <col min="5905" max="5905" width="16.0909090909091" style="140" customWidth="1"/>
    <col min="5906" max="5906" width="17.8181818181818" style="140" customWidth="1"/>
    <col min="5907" max="5907" width="14.0909090909091" style="140" customWidth="1"/>
    <col min="5908" max="5908" width="9.09090909090909" style="140"/>
    <col min="5909" max="5909" width="15.5454545454545" style="140" customWidth="1"/>
    <col min="5910" max="5910" width="10.0909090909091" style="140" customWidth="1"/>
    <col min="5911" max="5911" width="12.8181818181818" style="140" customWidth="1"/>
    <col min="5912" max="6146" width="9.09090909090909" style="140"/>
    <col min="6147" max="6147" width="4.54545454545455" style="140" customWidth="1"/>
    <col min="6148" max="6148" width="25.8181818181818" style="140" customWidth="1"/>
    <col min="6149" max="6149" width="16.4545454545455" style="140" customWidth="1"/>
    <col min="6150" max="6150" width="9.27272727272727" style="140" customWidth="1"/>
    <col min="6151" max="6151" width="6.27272727272727" style="140" customWidth="1"/>
    <col min="6152" max="6152" width="14.4545454545455" style="140" customWidth="1"/>
    <col min="6153" max="6153" width="15.5454545454545" style="140" customWidth="1"/>
    <col min="6154" max="6154" width="10.5454545454545" style="140" customWidth="1"/>
    <col min="6155" max="6155" width="14.4545454545455" style="140" customWidth="1"/>
    <col min="6156" max="6156" width="8" style="140" customWidth="1"/>
    <col min="6157" max="6157" width="16" style="140" customWidth="1"/>
    <col min="6158" max="6158" width="8.81818181818182" style="140" customWidth="1"/>
    <col min="6159" max="6159" width="16.8181818181818" style="140" customWidth="1"/>
    <col min="6160" max="6160" width="9.54545454545454" style="140" customWidth="1"/>
    <col min="6161" max="6161" width="16.0909090909091" style="140" customWidth="1"/>
    <col min="6162" max="6162" width="17.8181818181818" style="140" customWidth="1"/>
    <col min="6163" max="6163" width="14.0909090909091" style="140" customWidth="1"/>
    <col min="6164" max="6164" width="9.09090909090909" style="140"/>
    <col min="6165" max="6165" width="15.5454545454545" style="140" customWidth="1"/>
    <col min="6166" max="6166" width="10.0909090909091" style="140" customWidth="1"/>
    <col min="6167" max="6167" width="12.8181818181818" style="140" customWidth="1"/>
    <col min="6168" max="6402" width="9.09090909090909" style="140"/>
    <col min="6403" max="6403" width="4.54545454545455" style="140" customWidth="1"/>
    <col min="6404" max="6404" width="25.8181818181818" style="140" customWidth="1"/>
    <col min="6405" max="6405" width="16.4545454545455" style="140" customWidth="1"/>
    <col min="6406" max="6406" width="9.27272727272727" style="140" customWidth="1"/>
    <col min="6407" max="6407" width="6.27272727272727" style="140" customWidth="1"/>
    <col min="6408" max="6408" width="14.4545454545455" style="140" customWidth="1"/>
    <col min="6409" max="6409" width="15.5454545454545" style="140" customWidth="1"/>
    <col min="6410" max="6410" width="10.5454545454545" style="140" customWidth="1"/>
    <col min="6411" max="6411" width="14.4545454545455" style="140" customWidth="1"/>
    <col min="6412" max="6412" width="8" style="140" customWidth="1"/>
    <col min="6413" max="6413" width="16" style="140" customWidth="1"/>
    <col min="6414" max="6414" width="8.81818181818182" style="140" customWidth="1"/>
    <col min="6415" max="6415" width="16.8181818181818" style="140" customWidth="1"/>
    <col min="6416" max="6416" width="9.54545454545454" style="140" customWidth="1"/>
    <col min="6417" max="6417" width="16.0909090909091" style="140" customWidth="1"/>
    <col min="6418" max="6418" width="17.8181818181818" style="140" customWidth="1"/>
    <col min="6419" max="6419" width="14.0909090909091" style="140" customWidth="1"/>
    <col min="6420" max="6420" width="9.09090909090909" style="140"/>
    <col min="6421" max="6421" width="15.5454545454545" style="140" customWidth="1"/>
    <col min="6422" max="6422" width="10.0909090909091" style="140" customWidth="1"/>
    <col min="6423" max="6423" width="12.8181818181818" style="140" customWidth="1"/>
    <col min="6424" max="6658" width="9.09090909090909" style="140"/>
    <col min="6659" max="6659" width="4.54545454545455" style="140" customWidth="1"/>
    <col min="6660" max="6660" width="25.8181818181818" style="140" customWidth="1"/>
    <col min="6661" max="6661" width="16.4545454545455" style="140" customWidth="1"/>
    <col min="6662" max="6662" width="9.27272727272727" style="140" customWidth="1"/>
    <col min="6663" max="6663" width="6.27272727272727" style="140" customWidth="1"/>
    <col min="6664" max="6664" width="14.4545454545455" style="140" customWidth="1"/>
    <col min="6665" max="6665" width="15.5454545454545" style="140" customWidth="1"/>
    <col min="6666" max="6666" width="10.5454545454545" style="140" customWidth="1"/>
    <col min="6667" max="6667" width="14.4545454545455" style="140" customWidth="1"/>
    <col min="6668" max="6668" width="8" style="140" customWidth="1"/>
    <col min="6669" max="6669" width="16" style="140" customWidth="1"/>
    <col min="6670" max="6670" width="8.81818181818182" style="140" customWidth="1"/>
    <col min="6671" max="6671" width="16.8181818181818" style="140" customWidth="1"/>
    <col min="6672" max="6672" width="9.54545454545454" style="140" customWidth="1"/>
    <col min="6673" max="6673" width="16.0909090909091" style="140" customWidth="1"/>
    <col min="6674" max="6674" width="17.8181818181818" style="140" customWidth="1"/>
    <col min="6675" max="6675" width="14.0909090909091" style="140" customWidth="1"/>
    <col min="6676" max="6676" width="9.09090909090909" style="140"/>
    <col min="6677" max="6677" width="15.5454545454545" style="140" customWidth="1"/>
    <col min="6678" max="6678" width="10.0909090909091" style="140" customWidth="1"/>
    <col min="6679" max="6679" width="12.8181818181818" style="140" customWidth="1"/>
    <col min="6680" max="6914" width="9.09090909090909" style="140"/>
    <col min="6915" max="6915" width="4.54545454545455" style="140" customWidth="1"/>
    <col min="6916" max="6916" width="25.8181818181818" style="140" customWidth="1"/>
    <col min="6917" max="6917" width="16.4545454545455" style="140" customWidth="1"/>
    <col min="6918" max="6918" width="9.27272727272727" style="140" customWidth="1"/>
    <col min="6919" max="6919" width="6.27272727272727" style="140" customWidth="1"/>
    <col min="6920" max="6920" width="14.4545454545455" style="140" customWidth="1"/>
    <col min="6921" max="6921" width="15.5454545454545" style="140" customWidth="1"/>
    <col min="6922" max="6922" width="10.5454545454545" style="140" customWidth="1"/>
    <col min="6923" max="6923" width="14.4545454545455" style="140" customWidth="1"/>
    <col min="6924" max="6924" width="8" style="140" customWidth="1"/>
    <col min="6925" max="6925" width="16" style="140" customWidth="1"/>
    <col min="6926" max="6926" width="8.81818181818182" style="140" customWidth="1"/>
    <col min="6927" max="6927" width="16.8181818181818" style="140" customWidth="1"/>
    <col min="6928" max="6928" width="9.54545454545454" style="140" customWidth="1"/>
    <col min="6929" max="6929" width="16.0909090909091" style="140" customWidth="1"/>
    <col min="6930" max="6930" width="17.8181818181818" style="140" customWidth="1"/>
    <col min="6931" max="6931" width="14.0909090909091" style="140" customWidth="1"/>
    <col min="6932" max="6932" width="9.09090909090909" style="140"/>
    <col min="6933" max="6933" width="15.5454545454545" style="140" customWidth="1"/>
    <col min="6934" max="6934" width="10.0909090909091" style="140" customWidth="1"/>
    <col min="6935" max="6935" width="12.8181818181818" style="140" customWidth="1"/>
    <col min="6936" max="7170" width="9.09090909090909" style="140"/>
    <col min="7171" max="7171" width="4.54545454545455" style="140" customWidth="1"/>
    <col min="7172" max="7172" width="25.8181818181818" style="140" customWidth="1"/>
    <col min="7173" max="7173" width="16.4545454545455" style="140" customWidth="1"/>
    <col min="7174" max="7174" width="9.27272727272727" style="140" customWidth="1"/>
    <col min="7175" max="7175" width="6.27272727272727" style="140" customWidth="1"/>
    <col min="7176" max="7176" width="14.4545454545455" style="140" customWidth="1"/>
    <col min="7177" max="7177" width="15.5454545454545" style="140" customWidth="1"/>
    <col min="7178" max="7178" width="10.5454545454545" style="140" customWidth="1"/>
    <col min="7179" max="7179" width="14.4545454545455" style="140" customWidth="1"/>
    <col min="7180" max="7180" width="8" style="140" customWidth="1"/>
    <col min="7181" max="7181" width="16" style="140" customWidth="1"/>
    <col min="7182" max="7182" width="8.81818181818182" style="140" customWidth="1"/>
    <col min="7183" max="7183" width="16.8181818181818" style="140" customWidth="1"/>
    <col min="7184" max="7184" width="9.54545454545454" style="140" customWidth="1"/>
    <col min="7185" max="7185" width="16.0909090909091" style="140" customWidth="1"/>
    <col min="7186" max="7186" width="17.8181818181818" style="140" customWidth="1"/>
    <col min="7187" max="7187" width="14.0909090909091" style="140" customWidth="1"/>
    <col min="7188" max="7188" width="9.09090909090909" style="140"/>
    <col min="7189" max="7189" width="15.5454545454545" style="140" customWidth="1"/>
    <col min="7190" max="7190" width="10.0909090909091" style="140" customWidth="1"/>
    <col min="7191" max="7191" width="12.8181818181818" style="140" customWidth="1"/>
    <col min="7192" max="7426" width="9.09090909090909" style="140"/>
    <col min="7427" max="7427" width="4.54545454545455" style="140" customWidth="1"/>
    <col min="7428" max="7428" width="25.8181818181818" style="140" customWidth="1"/>
    <col min="7429" max="7429" width="16.4545454545455" style="140" customWidth="1"/>
    <col min="7430" max="7430" width="9.27272727272727" style="140" customWidth="1"/>
    <col min="7431" max="7431" width="6.27272727272727" style="140" customWidth="1"/>
    <col min="7432" max="7432" width="14.4545454545455" style="140" customWidth="1"/>
    <col min="7433" max="7433" width="15.5454545454545" style="140" customWidth="1"/>
    <col min="7434" max="7434" width="10.5454545454545" style="140" customWidth="1"/>
    <col min="7435" max="7435" width="14.4545454545455" style="140" customWidth="1"/>
    <col min="7436" max="7436" width="8" style="140" customWidth="1"/>
    <col min="7437" max="7437" width="16" style="140" customWidth="1"/>
    <col min="7438" max="7438" width="8.81818181818182" style="140" customWidth="1"/>
    <col min="7439" max="7439" width="16.8181818181818" style="140" customWidth="1"/>
    <col min="7440" max="7440" width="9.54545454545454" style="140" customWidth="1"/>
    <col min="7441" max="7441" width="16.0909090909091" style="140" customWidth="1"/>
    <col min="7442" max="7442" width="17.8181818181818" style="140" customWidth="1"/>
    <col min="7443" max="7443" width="14.0909090909091" style="140" customWidth="1"/>
    <col min="7444" max="7444" width="9.09090909090909" style="140"/>
    <col min="7445" max="7445" width="15.5454545454545" style="140" customWidth="1"/>
    <col min="7446" max="7446" width="10.0909090909091" style="140" customWidth="1"/>
    <col min="7447" max="7447" width="12.8181818181818" style="140" customWidth="1"/>
    <col min="7448" max="7682" width="9.09090909090909" style="140"/>
    <col min="7683" max="7683" width="4.54545454545455" style="140" customWidth="1"/>
    <col min="7684" max="7684" width="25.8181818181818" style="140" customWidth="1"/>
    <col min="7685" max="7685" width="16.4545454545455" style="140" customWidth="1"/>
    <col min="7686" max="7686" width="9.27272727272727" style="140" customWidth="1"/>
    <col min="7687" max="7687" width="6.27272727272727" style="140" customWidth="1"/>
    <col min="7688" max="7688" width="14.4545454545455" style="140" customWidth="1"/>
    <col min="7689" max="7689" width="15.5454545454545" style="140" customWidth="1"/>
    <col min="7690" max="7690" width="10.5454545454545" style="140" customWidth="1"/>
    <col min="7691" max="7691" width="14.4545454545455" style="140" customWidth="1"/>
    <col min="7692" max="7692" width="8" style="140" customWidth="1"/>
    <col min="7693" max="7693" width="16" style="140" customWidth="1"/>
    <col min="7694" max="7694" width="8.81818181818182" style="140" customWidth="1"/>
    <col min="7695" max="7695" width="16.8181818181818" style="140" customWidth="1"/>
    <col min="7696" max="7696" width="9.54545454545454" style="140" customWidth="1"/>
    <col min="7697" max="7697" width="16.0909090909091" style="140" customWidth="1"/>
    <col min="7698" max="7698" width="17.8181818181818" style="140" customWidth="1"/>
    <col min="7699" max="7699" width="14.0909090909091" style="140" customWidth="1"/>
    <col min="7700" max="7700" width="9.09090909090909" style="140"/>
    <col min="7701" max="7701" width="15.5454545454545" style="140" customWidth="1"/>
    <col min="7702" max="7702" width="10.0909090909091" style="140" customWidth="1"/>
    <col min="7703" max="7703" width="12.8181818181818" style="140" customWidth="1"/>
    <col min="7704" max="7938" width="9.09090909090909" style="140"/>
    <col min="7939" max="7939" width="4.54545454545455" style="140" customWidth="1"/>
    <col min="7940" max="7940" width="25.8181818181818" style="140" customWidth="1"/>
    <col min="7941" max="7941" width="16.4545454545455" style="140" customWidth="1"/>
    <col min="7942" max="7942" width="9.27272727272727" style="140" customWidth="1"/>
    <col min="7943" max="7943" width="6.27272727272727" style="140" customWidth="1"/>
    <col min="7944" max="7944" width="14.4545454545455" style="140" customWidth="1"/>
    <col min="7945" max="7945" width="15.5454545454545" style="140" customWidth="1"/>
    <col min="7946" max="7946" width="10.5454545454545" style="140" customWidth="1"/>
    <col min="7947" max="7947" width="14.4545454545455" style="140" customWidth="1"/>
    <col min="7948" max="7948" width="8" style="140" customWidth="1"/>
    <col min="7949" max="7949" width="16" style="140" customWidth="1"/>
    <col min="7950" max="7950" width="8.81818181818182" style="140" customWidth="1"/>
    <col min="7951" max="7951" width="16.8181818181818" style="140" customWidth="1"/>
    <col min="7952" max="7952" width="9.54545454545454" style="140" customWidth="1"/>
    <col min="7953" max="7953" width="16.0909090909091" style="140" customWidth="1"/>
    <col min="7954" max="7954" width="17.8181818181818" style="140" customWidth="1"/>
    <col min="7955" max="7955" width="14.0909090909091" style="140" customWidth="1"/>
    <col min="7956" max="7956" width="9.09090909090909" style="140"/>
    <col min="7957" max="7957" width="15.5454545454545" style="140" customWidth="1"/>
    <col min="7958" max="7958" width="10.0909090909091" style="140" customWidth="1"/>
    <col min="7959" max="7959" width="12.8181818181818" style="140" customWidth="1"/>
    <col min="7960" max="8194" width="9.09090909090909" style="140"/>
    <col min="8195" max="8195" width="4.54545454545455" style="140" customWidth="1"/>
    <col min="8196" max="8196" width="25.8181818181818" style="140" customWidth="1"/>
    <col min="8197" max="8197" width="16.4545454545455" style="140" customWidth="1"/>
    <col min="8198" max="8198" width="9.27272727272727" style="140" customWidth="1"/>
    <col min="8199" max="8199" width="6.27272727272727" style="140" customWidth="1"/>
    <col min="8200" max="8200" width="14.4545454545455" style="140" customWidth="1"/>
    <col min="8201" max="8201" width="15.5454545454545" style="140" customWidth="1"/>
    <col min="8202" max="8202" width="10.5454545454545" style="140" customWidth="1"/>
    <col min="8203" max="8203" width="14.4545454545455" style="140" customWidth="1"/>
    <col min="8204" max="8204" width="8" style="140" customWidth="1"/>
    <col min="8205" max="8205" width="16" style="140" customWidth="1"/>
    <col min="8206" max="8206" width="8.81818181818182" style="140" customWidth="1"/>
    <col min="8207" max="8207" width="16.8181818181818" style="140" customWidth="1"/>
    <col min="8208" max="8208" width="9.54545454545454" style="140" customWidth="1"/>
    <col min="8209" max="8209" width="16.0909090909091" style="140" customWidth="1"/>
    <col min="8210" max="8210" width="17.8181818181818" style="140" customWidth="1"/>
    <col min="8211" max="8211" width="14.0909090909091" style="140" customWidth="1"/>
    <col min="8212" max="8212" width="9.09090909090909" style="140"/>
    <col min="8213" max="8213" width="15.5454545454545" style="140" customWidth="1"/>
    <col min="8214" max="8214" width="10.0909090909091" style="140" customWidth="1"/>
    <col min="8215" max="8215" width="12.8181818181818" style="140" customWidth="1"/>
    <col min="8216" max="8450" width="9.09090909090909" style="140"/>
    <col min="8451" max="8451" width="4.54545454545455" style="140" customWidth="1"/>
    <col min="8452" max="8452" width="25.8181818181818" style="140" customWidth="1"/>
    <col min="8453" max="8453" width="16.4545454545455" style="140" customWidth="1"/>
    <col min="8454" max="8454" width="9.27272727272727" style="140" customWidth="1"/>
    <col min="8455" max="8455" width="6.27272727272727" style="140" customWidth="1"/>
    <col min="8456" max="8456" width="14.4545454545455" style="140" customWidth="1"/>
    <col min="8457" max="8457" width="15.5454545454545" style="140" customWidth="1"/>
    <col min="8458" max="8458" width="10.5454545454545" style="140" customWidth="1"/>
    <col min="8459" max="8459" width="14.4545454545455" style="140" customWidth="1"/>
    <col min="8460" max="8460" width="8" style="140" customWidth="1"/>
    <col min="8461" max="8461" width="16" style="140" customWidth="1"/>
    <col min="8462" max="8462" width="8.81818181818182" style="140" customWidth="1"/>
    <col min="8463" max="8463" width="16.8181818181818" style="140" customWidth="1"/>
    <col min="8464" max="8464" width="9.54545454545454" style="140" customWidth="1"/>
    <col min="8465" max="8465" width="16.0909090909091" style="140" customWidth="1"/>
    <col min="8466" max="8466" width="17.8181818181818" style="140" customWidth="1"/>
    <col min="8467" max="8467" width="14.0909090909091" style="140" customWidth="1"/>
    <col min="8468" max="8468" width="9.09090909090909" style="140"/>
    <col min="8469" max="8469" width="15.5454545454545" style="140" customWidth="1"/>
    <col min="8470" max="8470" width="10.0909090909091" style="140" customWidth="1"/>
    <col min="8471" max="8471" width="12.8181818181818" style="140" customWidth="1"/>
    <col min="8472" max="8706" width="9.09090909090909" style="140"/>
    <col min="8707" max="8707" width="4.54545454545455" style="140" customWidth="1"/>
    <col min="8708" max="8708" width="25.8181818181818" style="140" customWidth="1"/>
    <col min="8709" max="8709" width="16.4545454545455" style="140" customWidth="1"/>
    <col min="8710" max="8710" width="9.27272727272727" style="140" customWidth="1"/>
    <col min="8711" max="8711" width="6.27272727272727" style="140" customWidth="1"/>
    <col min="8712" max="8712" width="14.4545454545455" style="140" customWidth="1"/>
    <col min="8713" max="8713" width="15.5454545454545" style="140" customWidth="1"/>
    <col min="8714" max="8714" width="10.5454545454545" style="140" customWidth="1"/>
    <col min="8715" max="8715" width="14.4545454545455" style="140" customWidth="1"/>
    <col min="8716" max="8716" width="8" style="140" customWidth="1"/>
    <col min="8717" max="8717" width="16" style="140" customWidth="1"/>
    <col min="8718" max="8718" width="8.81818181818182" style="140" customWidth="1"/>
    <col min="8719" max="8719" width="16.8181818181818" style="140" customWidth="1"/>
    <col min="8720" max="8720" width="9.54545454545454" style="140" customWidth="1"/>
    <col min="8721" max="8721" width="16.0909090909091" style="140" customWidth="1"/>
    <col min="8722" max="8722" width="17.8181818181818" style="140" customWidth="1"/>
    <col min="8723" max="8723" width="14.0909090909091" style="140" customWidth="1"/>
    <col min="8724" max="8724" width="9.09090909090909" style="140"/>
    <col min="8725" max="8725" width="15.5454545454545" style="140" customWidth="1"/>
    <col min="8726" max="8726" width="10.0909090909091" style="140" customWidth="1"/>
    <col min="8727" max="8727" width="12.8181818181818" style="140" customWidth="1"/>
    <col min="8728" max="8962" width="9.09090909090909" style="140"/>
    <col min="8963" max="8963" width="4.54545454545455" style="140" customWidth="1"/>
    <col min="8964" max="8964" width="25.8181818181818" style="140" customWidth="1"/>
    <col min="8965" max="8965" width="16.4545454545455" style="140" customWidth="1"/>
    <col min="8966" max="8966" width="9.27272727272727" style="140" customWidth="1"/>
    <col min="8967" max="8967" width="6.27272727272727" style="140" customWidth="1"/>
    <col min="8968" max="8968" width="14.4545454545455" style="140" customWidth="1"/>
    <col min="8969" max="8969" width="15.5454545454545" style="140" customWidth="1"/>
    <col min="8970" max="8970" width="10.5454545454545" style="140" customWidth="1"/>
    <col min="8971" max="8971" width="14.4545454545455" style="140" customWidth="1"/>
    <col min="8972" max="8972" width="8" style="140" customWidth="1"/>
    <col min="8973" max="8973" width="16" style="140" customWidth="1"/>
    <col min="8974" max="8974" width="8.81818181818182" style="140" customWidth="1"/>
    <col min="8975" max="8975" width="16.8181818181818" style="140" customWidth="1"/>
    <col min="8976" max="8976" width="9.54545454545454" style="140" customWidth="1"/>
    <col min="8977" max="8977" width="16.0909090909091" style="140" customWidth="1"/>
    <col min="8978" max="8978" width="17.8181818181818" style="140" customWidth="1"/>
    <col min="8979" max="8979" width="14.0909090909091" style="140" customWidth="1"/>
    <col min="8980" max="8980" width="9.09090909090909" style="140"/>
    <col min="8981" max="8981" width="15.5454545454545" style="140" customWidth="1"/>
    <col min="8982" max="8982" width="10.0909090909091" style="140" customWidth="1"/>
    <col min="8983" max="8983" width="12.8181818181818" style="140" customWidth="1"/>
    <col min="8984" max="9218" width="9.09090909090909" style="140"/>
    <col min="9219" max="9219" width="4.54545454545455" style="140" customWidth="1"/>
    <col min="9220" max="9220" width="25.8181818181818" style="140" customWidth="1"/>
    <col min="9221" max="9221" width="16.4545454545455" style="140" customWidth="1"/>
    <col min="9222" max="9222" width="9.27272727272727" style="140" customWidth="1"/>
    <col min="9223" max="9223" width="6.27272727272727" style="140" customWidth="1"/>
    <col min="9224" max="9224" width="14.4545454545455" style="140" customWidth="1"/>
    <col min="9225" max="9225" width="15.5454545454545" style="140" customWidth="1"/>
    <col min="9226" max="9226" width="10.5454545454545" style="140" customWidth="1"/>
    <col min="9227" max="9227" width="14.4545454545455" style="140" customWidth="1"/>
    <col min="9228" max="9228" width="8" style="140" customWidth="1"/>
    <col min="9229" max="9229" width="16" style="140" customWidth="1"/>
    <col min="9230" max="9230" width="8.81818181818182" style="140" customWidth="1"/>
    <col min="9231" max="9231" width="16.8181818181818" style="140" customWidth="1"/>
    <col min="9232" max="9232" width="9.54545454545454" style="140" customWidth="1"/>
    <col min="9233" max="9233" width="16.0909090909091" style="140" customWidth="1"/>
    <col min="9234" max="9234" width="17.8181818181818" style="140" customWidth="1"/>
    <col min="9235" max="9235" width="14.0909090909091" style="140" customWidth="1"/>
    <col min="9236" max="9236" width="9.09090909090909" style="140"/>
    <col min="9237" max="9237" width="15.5454545454545" style="140" customWidth="1"/>
    <col min="9238" max="9238" width="10.0909090909091" style="140" customWidth="1"/>
    <col min="9239" max="9239" width="12.8181818181818" style="140" customWidth="1"/>
    <col min="9240" max="9474" width="9.09090909090909" style="140"/>
    <col min="9475" max="9475" width="4.54545454545455" style="140" customWidth="1"/>
    <col min="9476" max="9476" width="25.8181818181818" style="140" customWidth="1"/>
    <col min="9477" max="9477" width="16.4545454545455" style="140" customWidth="1"/>
    <col min="9478" max="9478" width="9.27272727272727" style="140" customWidth="1"/>
    <col min="9479" max="9479" width="6.27272727272727" style="140" customWidth="1"/>
    <col min="9480" max="9480" width="14.4545454545455" style="140" customWidth="1"/>
    <col min="9481" max="9481" width="15.5454545454545" style="140" customWidth="1"/>
    <col min="9482" max="9482" width="10.5454545454545" style="140" customWidth="1"/>
    <col min="9483" max="9483" width="14.4545454545455" style="140" customWidth="1"/>
    <col min="9484" max="9484" width="8" style="140" customWidth="1"/>
    <col min="9485" max="9485" width="16" style="140" customWidth="1"/>
    <col min="9486" max="9486" width="8.81818181818182" style="140" customWidth="1"/>
    <col min="9487" max="9487" width="16.8181818181818" style="140" customWidth="1"/>
    <col min="9488" max="9488" width="9.54545454545454" style="140" customWidth="1"/>
    <col min="9489" max="9489" width="16.0909090909091" style="140" customWidth="1"/>
    <col min="9490" max="9490" width="17.8181818181818" style="140" customWidth="1"/>
    <col min="9491" max="9491" width="14.0909090909091" style="140" customWidth="1"/>
    <col min="9492" max="9492" width="9.09090909090909" style="140"/>
    <col min="9493" max="9493" width="15.5454545454545" style="140" customWidth="1"/>
    <col min="9494" max="9494" width="10.0909090909091" style="140" customWidth="1"/>
    <col min="9495" max="9495" width="12.8181818181818" style="140" customWidth="1"/>
    <col min="9496" max="9730" width="9.09090909090909" style="140"/>
    <col min="9731" max="9731" width="4.54545454545455" style="140" customWidth="1"/>
    <col min="9732" max="9732" width="25.8181818181818" style="140" customWidth="1"/>
    <col min="9733" max="9733" width="16.4545454545455" style="140" customWidth="1"/>
    <col min="9734" max="9734" width="9.27272727272727" style="140" customWidth="1"/>
    <col min="9735" max="9735" width="6.27272727272727" style="140" customWidth="1"/>
    <col min="9736" max="9736" width="14.4545454545455" style="140" customWidth="1"/>
    <col min="9737" max="9737" width="15.5454545454545" style="140" customWidth="1"/>
    <col min="9738" max="9738" width="10.5454545454545" style="140" customWidth="1"/>
    <col min="9739" max="9739" width="14.4545454545455" style="140" customWidth="1"/>
    <col min="9740" max="9740" width="8" style="140" customWidth="1"/>
    <col min="9741" max="9741" width="16" style="140" customWidth="1"/>
    <col min="9742" max="9742" width="8.81818181818182" style="140" customWidth="1"/>
    <col min="9743" max="9743" width="16.8181818181818" style="140" customWidth="1"/>
    <col min="9744" max="9744" width="9.54545454545454" style="140" customWidth="1"/>
    <col min="9745" max="9745" width="16.0909090909091" style="140" customWidth="1"/>
    <col min="9746" max="9746" width="17.8181818181818" style="140" customWidth="1"/>
    <col min="9747" max="9747" width="14.0909090909091" style="140" customWidth="1"/>
    <col min="9748" max="9748" width="9.09090909090909" style="140"/>
    <col min="9749" max="9749" width="15.5454545454545" style="140" customWidth="1"/>
    <col min="9750" max="9750" width="10.0909090909091" style="140" customWidth="1"/>
    <col min="9751" max="9751" width="12.8181818181818" style="140" customWidth="1"/>
    <col min="9752" max="9986" width="9.09090909090909" style="140"/>
    <col min="9987" max="9987" width="4.54545454545455" style="140" customWidth="1"/>
    <col min="9988" max="9988" width="25.8181818181818" style="140" customWidth="1"/>
    <col min="9989" max="9989" width="16.4545454545455" style="140" customWidth="1"/>
    <col min="9990" max="9990" width="9.27272727272727" style="140" customWidth="1"/>
    <col min="9991" max="9991" width="6.27272727272727" style="140" customWidth="1"/>
    <col min="9992" max="9992" width="14.4545454545455" style="140" customWidth="1"/>
    <col min="9993" max="9993" width="15.5454545454545" style="140" customWidth="1"/>
    <col min="9994" max="9994" width="10.5454545454545" style="140" customWidth="1"/>
    <col min="9995" max="9995" width="14.4545454545455" style="140" customWidth="1"/>
    <col min="9996" max="9996" width="8" style="140" customWidth="1"/>
    <col min="9997" max="9997" width="16" style="140" customWidth="1"/>
    <col min="9998" max="9998" width="8.81818181818182" style="140" customWidth="1"/>
    <col min="9999" max="9999" width="16.8181818181818" style="140" customWidth="1"/>
    <col min="10000" max="10000" width="9.54545454545454" style="140" customWidth="1"/>
    <col min="10001" max="10001" width="16.0909090909091" style="140" customWidth="1"/>
    <col min="10002" max="10002" width="17.8181818181818" style="140" customWidth="1"/>
    <col min="10003" max="10003" width="14.0909090909091" style="140" customWidth="1"/>
    <col min="10004" max="10004" width="9.09090909090909" style="140"/>
    <col min="10005" max="10005" width="15.5454545454545" style="140" customWidth="1"/>
    <col min="10006" max="10006" width="10.0909090909091" style="140" customWidth="1"/>
    <col min="10007" max="10007" width="12.8181818181818" style="140" customWidth="1"/>
    <col min="10008" max="10242" width="9.09090909090909" style="140"/>
    <col min="10243" max="10243" width="4.54545454545455" style="140" customWidth="1"/>
    <col min="10244" max="10244" width="25.8181818181818" style="140" customWidth="1"/>
    <col min="10245" max="10245" width="16.4545454545455" style="140" customWidth="1"/>
    <col min="10246" max="10246" width="9.27272727272727" style="140" customWidth="1"/>
    <col min="10247" max="10247" width="6.27272727272727" style="140" customWidth="1"/>
    <col min="10248" max="10248" width="14.4545454545455" style="140" customWidth="1"/>
    <col min="10249" max="10249" width="15.5454545454545" style="140" customWidth="1"/>
    <col min="10250" max="10250" width="10.5454545454545" style="140" customWidth="1"/>
    <col min="10251" max="10251" width="14.4545454545455" style="140" customWidth="1"/>
    <col min="10252" max="10252" width="8" style="140" customWidth="1"/>
    <col min="10253" max="10253" width="16" style="140" customWidth="1"/>
    <col min="10254" max="10254" width="8.81818181818182" style="140" customWidth="1"/>
    <col min="10255" max="10255" width="16.8181818181818" style="140" customWidth="1"/>
    <col min="10256" max="10256" width="9.54545454545454" style="140" customWidth="1"/>
    <col min="10257" max="10257" width="16.0909090909091" style="140" customWidth="1"/>
    <col min="10258" max="10258" width="17.8181818181818" style="140" customWidth="1"/>
    <col min="10259" max="10259" width="14.0909090909091" style="140" customWidth="1"/>
    <col min="10260" max="10260" width="9.09090909090909" style="140"/>
    <col min="10261" max="10261" width="15.5454545454545" style="140" customWidth="1"/>
    <col min="10262" max="10262" width="10.0909090909091" style="140" customWidth="1"/>
    <col min="10263" max="10263" width="12.8181818181818" style="140" customWidth="1"/>
    <col min="10264" max="10498" width="9.09090909090909" style="140"/>
    <col min="10499" max="10499" width="4.54545454545455" style="140" customWidth="1"/>
    <col min="10500" max="10500" width="25.8181818181818" style="140" customWidth="1"/>
    <col min="10501" max="10501" width="16.4545454545455" style="140" customWidth="1"/>
    <col min="10502" max="10502" width="9.27272727272727" style="140" customWidth="1"/>
    <col min="10503" max="10503" width="6.27272727272727" style="140" customWidth="1"/>
    <col min="10504" max="10504" width="14.4545454545455" style="140" customWidth="1"/>
    <col min="10505" max="10505" width="15.5454545454545" style="140" customWidth="1"/>
    <col min="10506" max="10506" width="10.5454545454545" style="140" customWidth="1"/>
    <col min="10507" max="10507" width="14.4545454545455" style="140" customWidth="1"/>
    <col min="10508" max="10508" width="8" style="140" customWidth="1"/>
    <col min="10509" max="10509" width="16" style="140" customWidth="1"/>
    <col min="10510" max="10510" width="8.81818181818182" style="140" customWidth="1"/>
    <col min="10511" max="10511" width="16.8181818181818" style="140" customWidth="1"/>
    <col min="10512" max="10512" width="9.54545454545454" style="140" customWidth="1"/>
    <col min="10513" max="10513" width="16.0909090909091" style="140" customWidth="1"/>
    <col min="10514" max="10514" width="17.8181818181818" style="140" customWidth="1"/>
    <col min="10515" max="10515" width="14.0909090909091" style="140" customWidth="1"/>
    <col min="10516" max="10516" width="9.09090909090909" style="140"/>
    <col min="10517" max="10517" width="15.5454545454545" style="140" customWidth="1"/>
    <col min="10518" max="10518" width="10.0909090909091" style="140" customWidth="1"/>
    <col min="10519" max="10519" width="12.8181818181818" style="140" customWidth="1"/>
    <col min="10520" max="10754" width="9.09090909090909" style="140"/>
    <col min="10755" max="10755" width="4.54545454545455" style="140" customWidth="1"/>
    <col min="10756" max="10756" width="25.8181818181818" style="140" customWidth="1"/>
    <col min="10757" max="10757" width="16.4545454545455" style="140" customWidth="1"/>
    <col min="10758" max="10758" width="9.27272727272727" style="140" customWidth="1"/>
    <col min="10759" max="10759" width="6.27272727272727" style="140" customWidth="1"/>
    <col min="10760" max="10760" width="14.4545454545455" style="140" customWidth="1"/>
    <col min="10761" max="10761" width="15.5454545454545" style="140" customWidth="1"/>
    <col min="10762" max="10762" width="10.5454545454545" style="140" customWidth="1"/>
    <col min="10763" max="10763" width="14.4545454545455" style="140" customWidth="1"/>
    <col min="10764" max="10764" width="8" style="140" customWidth="1"/>
    <col min="10765" max="10765" width="16" style="140" customWidth="1"/>
    <col min="10766" max="10766" width="8.81818181818182" style="140" customWidth="1"/>
    <col min="10767" max="10767" width="16.8181818181818" style="140" customWidth="1"/>
    <col min="10768" max="10768" width="9.54545454545454" style="140" customWidth="1"/>
    <col min="10769" max="10769" width="16.0909090909091" style="140" customWidth="1"/>
    <col min="10770" max="10770" width="17.8181818181818" style="140" customWidth="1"/>
    <col min="10771" max="10771" width="14.0909090909091" style="140" customWidth="1"/>
    <col min="10772" max="10772" width="9.09090909090909" style="140"/>
    <col min="10773" max="10773" width="15.5454545454545" style="140" customWidth="1"/>
    <col min="10774" max="10774" width="10.0909090909091" style="140" customWidth="1"/>
    <col min="10775" max="10775" width="12.8181818181818" style="140" customWidth="1"/>
    <col min="10776" max="11010" width="9.09090909090909" style="140"/>
    <col min="11011" max="11011" width="4.54545454545455" style="140" customWidth="1"/>
    <col min="11012" max="11012" width="25.8181818181818" style="140" customWidth="1"/>
    <col min="11013" max="11013" width="16.4545454545455" style="140" customWidth="1"/>
    <col min="11014" max="11014" width="9.27272727272727" style="140" customWidth="1"/>
    <col min="11015" max="11015" width="6.27272727272727" style="140" customWidth="1"/>
    <col min="11016" max="11016" width="14.4545454545455" style="140" customWidth="1"/>
    <col min="11017" max="11017" width="15.5454545454545" style="140" customWidth="1"/>
    <col min="11018" max="11018" width="10.5454545454545" style="140" customWidth="1"/>
    <col min="11019" max="11019" width="14.4545454545455" style="140" customWidth="1"/>
    <col min="11020" max="11020" width="8" style="140" customWidth="1"/>
    <col min="11021" max="11021" width="16" style="140" customWidth="1"/>
    <col min="11022" max="11022" width="8.81818181818182" style="140" customWidth="1"/>
    <col min="11023" max="11023" width="16.8181818181818" style="140" customWidth="1"/>
    <col min="11024" max="11024" width="9.54545454545454" style="140" customWidth="1"/>
    <col min="11025" max="11025" width="16.0909090909091" style="140" customWidth="1"/>
    <col min="11026" max="11026" width="17.8181818181818" style="140" customWidth="1"/>
    <col min="11027" max="11027" width="14.0909090909091" style="140" customWidth="1"/>
    <col min="11028" max="11028" width="9.09090909090909" style="140"/>
    <col min="11029" max="11029" width="15.5454545454545" style="140" customWidth="1"/>
    <col min="11030" max="11030" width="10.0909090909091" style="140" customWidth="1"/>
    <col min="11031" max="11031" width="12.8181818181818" style="140" customWidth="1"/>
    <col min="11032" max="11266" width="9.09090909090909" style="140"/>
    <col min="11267" max="11267" width="4.54545454545455" style="140" customWidth="1"/>
    <col min="11268" max="11268" width="25.8181818181818" style="140" customWidth="1"/>
    <col min="11269" max="11269" width="16.4545454545455" style="140" customWidth="1"/>
    <col min="11270" max="11270" width="9.27272727272727" style="140" customWidth="1"/>
    <col min="11271" max="11271" width="6.27272727272727" style="140" customWidth="1"/>
    <col min="11272" max="11272" width="14.4545454545455" style="140" customWidth="1"/>
    <col min="11273" max="11273" width="15.5454545454545" style="140" customWidth="1"/>
    <col min="11274" max="11274" width="10.5454545454545" style="140" customWidth="1"/>
    <col min="11275" max="11275" width="14.4545454545455" style="140" customWidth="1"/>
    <col min="11276" max="11276" width="8" style="140" customWidth="1"/>
    <col min="11277" max="11277" width="16" style="140" customWidth="1"/>
    <col min="11278" max="11278" width="8.81818181818182" style="140" customWidth="1"/>
    <col min="11279" max="11279" width="16.8181818181818" style="140" customWidth="1"/>
    <col min="11280" max="11280" width="9.54545454545454" style="140" customWidth="1"/>
    <col min="11281" max="11281" width="16.0909090909091" style="140" customWidth="1"/>
    <col min="11282" max="11282" width="17.8181818181818" style="140" customWidth="1"/>
    <col min="11283" max="11283" width="14.0909090909091" style="140" customWidth="1"/>
    <col min="11284" max="11284" width="9.09090909090909" style="140"/>
    <col min="11285" max="11285" width="15.5454545454545" style="140" customWidth="1"/>
    <col min="11286" max="11286" width="10.0909090909091" style="140" customWidth="1"/>
    <col min="11287" max="11287" width="12.8181818181818" style="140" customWidth="1"/>
    <col min="11288" max="11522" width="9.09090909090909" style="140"/>
    <col min="11523" max="11523" width="4.54545454545455" style="140" customWidth="1"/>
    <col min="11524" max="11524" width="25.8181818181818" style="140" customWidth="1"/>
    <col min="11525" max="11525" width="16.4545454545455" style="140" customWidth="1"/>
    <col min="11526" max="11526" width="9.27272727272727" style="140" customWidth="1"/>
    <col min="11527" max="11527" width="6.27272727272727" style="140" customWidth="1"/>
    <col min="11528" max="11528" width="14.4545454545455" style="140" customWidth="1"/>
    <col min="11529" max="11529" width="15.5454545454545" style="140" customWidth="1"/>
    <col min="11530" max="11530" width="10.5454545454545" style="140" customWidth="1"/>
    <col min="11531" max="11531" width="14.4545454545455" style="140" customWidth="1"/>
    <col min="11532" max="11532" width="8" style="140" customWidth="1"/>
    <col min="11533" max="11533" width="16" style="140" customWidth="1"/>
    <col min="11534" max="11534" width="8.81818181818182" style="140" customWidth="1"/>
    <col min="11535" max="11535" width="16.8181818181818" style="140" customWidth="1"/>
    <col min="11536" max="11536" width="9.54545454545454" style="140" customWidth="1"/>
    <col min="11537" max="11537" width="16.0909090909091" style="140" customWidth="1"/>
    <col min="11538" max="11538" width="17.8181818181818" style="140" customWidth="1"/>
    <col min="11539" max="11539" width="14.0909090909091" style="140" customWidth="1"/>
    <col min="11540" max="11540" width="9.09090909090909" style="140"/>
    <col min="11541" max="11541" width="15.5454545454545" style="140" customWidth="1"/>
    <col min="11542" max="11542" width="10.0909090909091" style="140" customWidth="1"/>
    <col min="11543" max="11543" width="12.8181818181818" style="140" customWidth="1"/>
    <col min="11544" max="11778" width="9.09090909090909" style="140"/>
    <col min="11779" max="11779" width="4.54545454545455" style="140" customWidth="1"/>
    <col min="11780" max="11780" width="25.8181818181818" style="140" customWidth="1"/>
    <col min="11781" max="11781" width="16.4545454545455" style="140" customWidth="1"/>
    <col min="11782" max="11782" width="9.27272727272727" style="140" customWidth="1"/>
    <col min="11783" max="11783" width="6.27272727272727" style="140" customWidth="1"/>
    <col min="11784" max="11784" width="14.4545454545455" style="140" customWidth="1"/>
    <col min="11785" max="11785" width="15.5454545454545" style="140" customWidth="1"/>
    <col min="11786" max="11786" width="10.5454545454545" style="140" customWidth="1"/>
    <col min="11787" max="11787" width="14.4545454545455" style="140" customWidth="1"/>
    <col min="11788" max="11788" width="8" style="140" customWidth="1"/>
    <col min="11789" max="11789" width="16" style="140" customWidth="1"/>
    <col min="11790" max="11790" width="8.81818181818182" style="140" customWidth="1"/>
    <col min="11791" max="11791" width="16.8181818181818" style="140" customWidth="1"/>
    <col min="11792" max="11792" width="9.54545454545454" style="140" customWidth="1"/>
    <col min="11793" max="11793" width="16.0909090909091" style="140" customWidth="1"/>
    <col min="11794" max="11794" width="17.8181818181818" style="140" customWidth="1"/>
    <col min="11795" max="11795" width="14.0909090909091" style="140" customWidth="1"/>
    <col min="11796" max="11796" width="9.09090909090909" style="140"/>
    <col min="11797" max="11797" width="15.5454545454545" style="140" customWidth="1"/>
    <col min="11798" max="11798" width="10.0909090909091" style="140" customWidth="1"/>
    <col min="11799" max="11799" width="12.8181818181818" style="140" customWidth="1"/>
    <col min="11800" max="12034" width="9.09090909090909" style="140"/>
    <col min="12035" max="12035" width="4.54545454545455" style="140" customWidth="1"/>
    <col min="12036" max="12036" width="25.8181818181818" style="140" customWidth="1"/>
    <col min="12037" max="12037" width="16.4545454545455" style="140" customWidth="1"/>
    <col min="12038" max="12038" width="9.27272727272727" style="140" customWidth="1"/>
    <col min="12039" max="12039" width="6.27272727272727" style="140" customWidth="1"/>
    <col min="12040" max="12040" width="14.4545454545455" style="140" customWidth="1"/>
    <col min="12041" max="12041" width="15.5454545454545" style="140" customWidth="1"/>
    <col min="12042" max="12042" width="10.5454545454545" style="140" customWidth="1"/>
    <col min="12043" max="12043" width="14.4545454545455" style="140" customWidth="1"/>
    <col min="12044" max="12044" width="8" style="140" customWidth="1"/>
    <col min="12045" max="12045" width="16" style="140" customWidth="1"/>
    <col min="12046" max="12046" width="8.81818181818182" style="140" customWidth="1"/>
    <col min="12047" max="12047" width="16.8181818181818" style="140" customWidth="1"/>
    <col min="12048" max="12048" width="9.54545454545454" style="140" customWidth="1"/>
    <col min="12049" max="12049" width="16.0909090909091" style="140" customWidth="1"/>
    <col min="12050" max="12050" width="17.8181818181818" style="140" customWidth="1"/>
    <col min="12051" max="12051" width="14.0909090909091" style="140" customWidth="1"/>
    <col min="12052" max="12052" width="9.09090909090909" style="140"/>
    <col min="12053" max="12053" width="15.5454545454545" style="140" customWidth="1"/>
    <col min="12054" max="12054" width="10.0909090909091" style="140" customWidth="1"/>
    <col min="12055" max="12055" width="12.8181818181818" style="140" customWidth="1"/>
    <col min="12056" max="12290" width="9.09090909090909" style="140"/>
    <col min="12291" max="12291" width="4.54545454545455" style="140" customWidth="1"/>
    <col min="12292" max="12292" width="25.8181818181818" style="140" customWidth="1"/>
    <col min="12293" max="12293" width="16.4545454545455" style="140" customWidth="1"/>
    <col min="12294" max="12294" width="9.27272727272727" style="140" customWidth="1"/>
    <col min="12295" max="12295" width="6.27272727272727" style="140" customWidth="1"/>
    <col min="12296" max="12296" width="14.4545454545455" style="140" customWidth="1"/>
    <col min="12297" max="12297" width="15.5454545454545" style="140" customWidth="1"/>
    <col min="12298" max="12298" width="10.5454545454545" style="140" customWidth="1"/>
    <col min="12299" max="12299" width="14.4545454545455" style="140" customWidth="1"/>
    <col min="12300" max="12300" width="8" style="140" customWidth="1"/>
    <col min="12301" max="12301" width="16" style="140" customWidth="1"/>
    <col min="12302" max="12302" width="8.81818181818182" style="140" customWidth="1"/>
    <col min="12303" max="12303" width="16.8181818181818" style="140" customWidth="1"/>
    <col min="12304" max="12304" width="9.54545454545454" style="140" customWidth="1"/>
    <col min="12305" max="12305" width="16.0909090909091" style="140" customWidth="1"/>
    <col min="12306" max="12306" width="17.8181818181818" style="140" customWidth="1"/>
    <col min="12307" max="12307" width="14.0909090909091" style="140" customWidth="1"/>
    <col min="12308" max="12308" width="9.09090909090909" style="140"/>
    <col min="12309" max="12309" width="15.5454545454545" style="140" customWidth="1"/>
    <col min="12310" max="12310" width="10.0909090909091" style="140" customWidth="1"/>
    <col min="12311" max="12311" width="12.8181818181818" style="140" customWidth="1"/>
    <col min="12312" max="12546" width="9.09090909090909" style="140"/>
    <col min="12547" max="12547" width="4.54545454545455" style="140" customWidth="1"/>
    <col min="12548" max="12548" width="25.8181818181818" style="140" customWidth="1"/>
    <col min="12549" max="12549" width="16.4545454545455" style="140" customWidth="1"/>
    <col min="12550" max="12550" width="9.27272727272727" style="140" customWidth="1"/>
    <col min="12551" max="12551" width="6.27272727272727" style="140" customWidth="1"/>
    <col min="12552" max="12552" width="14.4545454545455" style="140" customWidth="1"/>
    <col min="12553" max="12553" width="15.5454545454545" style="140" customWidth="1"/>
    <col min="12554" max="12554" width="10.5454545454545" style="140" customWidth="1"/>
    <col min="12555" max="12555" width="14.4545454545455" style="140" customWidth="1"/>
    <col min="12556" max="12556" width="8" style="140" customWidth="1"/>
    <col min="12557" max="12557" width="16" style="140" customWidth="1"/>
    <col min="12558" max="12558" width="8.81818181818182" style="140" customWidth="1"/>
    <col min="12559" max="12559" width="16.8181818181818" style="140" customWidth="1"/>
    <col min="12560" max="12560" width="9.54545454545454" style="140" customWidth="1"/>
    <col min="12561" max="12561" width="16.0909090909091" style="140" customWidth="1"/>
    <col min="12562" max="12562" width="17.8181818181818" style="140" customWidth="1"/>
    <col min="12563" max="12563" width="14.0909090909091" style="140" customWidth="1"/>
    <col min="12564" max="12564" width="9.09090909090909" style="140"/>
    <col min="12565" max="12565" width="15.5454545454545" style="140" customWidth="1"/>
    <col min="12566" max="12566" width="10.0909090909091" style="140" customWidth="1"/>
    <col min="12567" max="12567" width="12.8181818181818" style="140" customWidth="1"/>
    <col min="12568" max="12802" width="9.09090909090909" style="140"/>
    <col min="12803" max="12803" width="4.54545454545455" style="140" customWidth="1"/>
    <col min="12804" max="12804" width="25.8181818181818" style="140" customWidth="1"/>
    <col min="12805" max="12805" width="16.4545454545455" style="140" customWidth="1"/>
    <col min="12806" max="12806" width="9.27272727272727" style="140" customWidth="1"/>
    <col min="12807" max="12807" width="6.27272727272727" style="140" customWidth="1"/>
    <col min="12808" max="12808" width="14.4545454545455" style="140" customWidth="1"/>
    <col min="12809" max="12809" width="15.5454545454545" style="140" customWidth="1"/>
    <col min="12810" max="12810" width="10.5454545454545" style="140" customWidth="1"/>
    <col min="12811" max="12811" width="14.4545454545455" style="140" customWidth="1"/>
    <col min="12812" max="12812" width="8" style="140" customWidth="1"/>
    <col min="12813" max="12813" width="16" style="140" customWidth="1"/>
    <col min="12814" max="12814" width="8.81818181818182" style="140" customWidth="1"/>
    <col min="12815" max="12815" width="16.8181818181818" style="140" customWidth="1"/>
    <col min="12816" max="12816" width="9.54545454545454" style="140" customWidth="1"/>
    <col min="12817" max="12817" width="16.0909090909091" style="140" customWidth="1"/>
    <col min="12818" max="12818" width="17.8181818181818" style="140" customWidth="1"/>
    <col min="12819" max="12819" width="14.0909090909091" style="140" customWidth="1"/>
    <col min="12820" max="12820" width="9.09090909090909" style="140"/>
    <col min="12821" max="12821" width="15.5454545454545" style="140" customWidth="1"/>
    <col min="12822" max="12822" width="10.0909090909091" style="140" customWidth="1"/>
    <col min="12823" max="12823" width="12.8181818181818" style="140" customWidth="1"/>
    <col min="12824" max="13058" width="9.09090909090909" style="140"/>
    <col min="13059" max="13059" width="4.54545454545455" style="140" customWidth="1"/>
    <col min="13060" max="13060" width="25.8181818181818" style="140" customWidth="1"/>
    <col min="13061" max="13061" width="16.4545454545455" style="140" customWidth="1"/>
    <col min="13062" max="13062" width="9.27272727272727" style="140" customWidth="1"/>
    <col min="13063" max="13063" width="6.27272727272727" style="140" customWidth="1"/>
    <col min="13064" max="13064" width="14.4545454545455" style="140" customWidth="1"/>
    <col min="13065" max="13065" width="15.5454545454545" style="140" customWidth="1"/>
    <col min="13066" max="13066" width="10.5454545454545" style="140" customWidth="1"/>
    <col min="13067" max="13067" width="14.4545454545455" style="140" customWidth="1"/>
    <col min="13068" max="13068" width="8" style="140" customWidth="1"/>
    <col min="13069" max="13069" width="16" style="140" customWidth="1"/>
    <col min="13070" max="13070" width="8.81818181818182" style="140" customWidth="1"/>
    <col min="13071" max="13071" width="16.8181818181818" style="140" customWidth="1"/>
    <col min="13072" max="13072" width="9.54545454545454" style="140" customWidth="1"/>
    <col min="13073" max="13073" width="16.0909090909091" style="140" customWidth="1"/>
    <col min="13074" max="13074" width="17.8181818181818" style="140" customWidth="1"/>
    <col min="13075" max="13075" width="14.0909090909091" style="140" customWidth="1"/>
    <col min="13076" max="13076" width="9.09090909090909" style="140"/>
    <col min="13077" max="13077" width="15.5454545454545" style="140" customWidth="1"/>
    <col min="13078" max="13078" width="10.0909090909091" style="140" customWidth="1"/>
    <col min="13079" max="13079" width="12.8181818181818" style="140" customWidth="1"/>
    <col min="13080" max="13314" width="9.09090909090909" style="140"/>
    <col min="13315" max="13315" width="4.54545454545455" style="140" customWidth="1"/>
    <col min="13316" max="13316" width="25.8181818181818" style="140" customWidth="1"/>
    <col min="13317" max="13317" width="16.4545454545455" style="140" customWidth="1"/>
    <col min="13318" max="13318" width="9.27272727272727" style="140" customWidth="1"/>
    <col min="13319" max="13319" width="6.27272727272727" style="140" customWidth="1"/>
    <col min="13320" max="13320" width="14.4545454545455" style="140" customWidth="1"/>
    <col min="13321" max="13321" width="15.5454545454545" style="140" customWidth="1"/>
    <col min="13322" max="13322" width="10.5454545454545" style="140" customWidth="1"/>
    <col min="13323" max="13323" width="14.4545454545455" style="140" customWidth="1"/>
    <col min="13324" max="13324" width="8" style="140" customWidth="1"/>
    <col min="13325" max="13325" width="16" style="140" customWidth="1"/>
    <col min="13326" max="13326" width="8.81818181818182" style="140" customWidth="1"/>
    <col min="13327" max="13327" width="16.8181818181818" style="140" customWidth="1"/>
    <col min="13328" max="13328" width="9.54545454545454" style="140" customWidth="1"/>
    <col min="13329" max="13329" width="16.0909090909091" style="140" customWidth="1"/>
    <col min="13330" max="13330" width="17.8181818181818" style="140" customWidth="1"/>
    <col min="13331" max="13331" width="14.0909090909091" style="140" customWidth="1"/>
    <col min="13332" max="13332" width="9.09090909090909" style="140"/>
    <col min="13333" max="13333" width="15.5454545454545" style="140" customWidth="1"/>
    <col min="13334" max="13334" width="10.0909090909091" style="140" customWidth="1"/>
    <col min="13335" max="13335" width="12.8181818181818" style="140" customWidth="1"/>
    <col min="13336" max="13570" width="9.09090909090909" style="140"/>
    <col min="13571" max="13571" width="4.54545454545455" style="140" customWidth="1"/>
    <col min="13572" max="13572" width="25.8181818181818" style="140" customWidth="1"/>
    <col min="13573" max="13573" width="16.4545454545455" style="140" customWidth="1"/>
    <col min="13574" max="13574" width="9.27272727272727" style="140" customWidth="1"/>
    <col min="13575" max="13575" width="6.27272727272727" style="140" customWidth="1"/>
    <col min="13576" max="13576" width="14.4545454545455" style="140" customWidth="1"/>
    <col min="13577" max="13577" width="15.5454545454545" style="140" customWidth="1"/>
    <col min="13578" max="13578" width="10.5454545454545" style="140" customWidth="1"/>
    <col min="13579" max="13579" width="14.4545454545455" style="140" customWidth="1"/>
    <col min="13580" max="13580" width="8" style="140" customWidth="1"/>
    <col min="13581" max="13581" width="16" style="140" customWidth="1"/>
    <col min="13582" max="13582" width="8.81818181818182" style="140" customWidth="1"/>
    <col min="13583" max="13583" width="16.8181818181818" style="140" customWidth="1"/>
    <col min="13584" max="13584" width="9.54545454545454" style="140" customWidth="1"/>
    <col min="13585" max="13585" width="16.0909090909091" style="140" customWidth="1"/>
    <col min="13586" max="13586" width="17.8181818181818" style="140" customWidth="1"/>
    <col min="13587" max="13587" width="14.0909090909091" style="140" customWidth="1"/>
    <col min="13588" max="13588" width="9.09090909090909" style="140"/>
    <col min="13589" max="13589" width="15.5454545454545" style="140" customWidth="1"/>
    <col min="13590" max="13590" width="10.0909090909091" style="140" customWidth="1"/>
    <col min="13591" max="13591" width="12.8181818181818" style="140" customWidth="1"/>
    <col min="13592" max="13826" width="9.09090909090909" style="140"/>
    <col min="13827" max="13827" width="4.54545454545455" style="140" customWidth="1"/>
    <col min="13828" max="13828" width="25.8181818181818" style="140" customWidth="1"/>
    <col min="13829" max="13829" width="16.4545454545455" style="140" customWidth="1"/>
    <col min="13830" max="13830" width="9.27272727272727" style="140" customWidth="1"/>
    <col min="13831" max="13831" width="6.27272727272727" style="140" customWidth="1"/>
    <col min="13832" max="13832" width="14.4545454545455" style="140" customWidth="1"/>
    <col min="13833" max="13833" width="15.5454545454545" style="140" customWidth="1"/>
    <col min="13834" max="13834" width="10.5454545454545" style="140" customWidth="1"/>
    <col min="13835" max="13835" width="14.4545454545455" style="140" customWidth="1"/>
    <col min="13836" max="13836" width="8" style="140" customWidth="1"/>
    <col min="13837" max="13837" width="16" style="140" customWidth="1"/>
    <col min="13838" max="13838" width="8.81818181818182" style="140" customWidth="1"/>
    <col min="13839" max="13839" width="16.8181818181818" style="140" customWidth="1"/>
    <col min="13840" max="13840" width="9.54545454545454" style="140" customWidth="1"/>
    <col min="13841" max="13841" width="16.0909090909091" style="140" customWidth="1"/>
    <col min="13842" max="13842" width="17.8181818181818" style="140" customWidth="1"/>
    <col min="13843" max="13843" width="14.0909090909091" style="140" customWidth="1"/>
    <col min="13844" max="13844" width="9.09090909090909" style="140"/>
    <col min="13845" max="13845" width="15.5454545454545" style="140" customWidth="1"/>
    <col min="13846" max="13846" width="10.0909090909091" style="140" customWidth="1"/>
    <col min="13847" max="13847" width="12.8181818181818" style="140" customWidth="1"/>
    <col min="13848" max="14082" width="9.09090909090909" style="140"/>
    <col min="14083" max="14083" width="4.54545454545455" style="140" customWidth="1"/>
    <col min="14084" max="14084" width="25.8181818181818" style="140" customWidth="1"/>
    <col min="14085" max="14085" width="16.4545454545455" style="140" customWidth="1"/>
    <col min="14086" max="14086" width="9.27272727272727" style="140" customWidth="1"/>
    <col min="14087" max="14087" width="6.27272727272727" style="140" customWidth="1"/>
    <col min="14088" max="14088" width="14.4545454545455" style="140" customWidth="1"/>
    <col min="14089" max="14089" width="15.5454545454545" style="140" customWidth="1"/>
    <col min="14090" max="14090" width="10.5454545454545" style="140" customWidth="1"/>
    <col min="14091" max="14091" width="14.4545454545455" style="140" customWidth="1"/>
    <col min="14092" max="14092" width="8" style="140" customWidth="1"/>
    <col min="14093" max="14093" width="16" style="140" customWidth="1"/>
    <col min="14094" max="14094" width="8.81818181818182" style="140" customWidth="1"/>
    <col min="14095" max="14095" width="16.8181818181818" style="140" customWidth="1"/>
    <col min="14096" max="14096" width="9.54545454545454" style="140" customWidth="1"/>
    <col min="14097" max="14097" width="16.0909090909091" style="140" customWidth="1"/>
    <col min="14098" max="14098" width="17.8181818181818" style="140" customWidth="1"/>
    <col min="14099" max="14099" width="14.0909090909091" style="140" customWidth="1"/>
    <col min="14100" max="14100" width="9.09090909090909" style="140"/>
    <col min="14101" max="14101" width="15.5454545454545" style="140" customWidth="1"/>
    <col min="14102" max="14102" width="10.0909090909091" style="140" customWidth="1"/>
    <col min="14103" max="14103" width="12.8181818181818" style="140" customWidth="1"/>
    <col min="14104" max="14338" width="9.09090909090909" style="140"/>
    <col min="14339" max="14339" width="4.54545454545455" style="140" customWidth="1"/>
    <col min="14340" max="14340" width="25.8181818181818" style="140" customWidth="1"/>
    <col min="14341" max="14341" width="16.4545454545455" style="140" customWidth="1"/>
    <col min="14342" max="14342" width="9.27272727272727" style="140" customWidth="1"/>
    <col min="14343" max="14343" width="6.27272727272727" style="140" customWidth="1"/>
    <col min="14344" max="14344" width="14.4545454545455" style="140" customWidth="1"/>
    <col min="14345" max="14345" width="15.5454545454545" style="140" customWidth="1"/>
    <col min="14346" max="14346" width="10.5454545454545" style="140" customWidth="1"/>
    <col min="14347" max="14347" width="14.4545454545455" style="140" customWidth="1"/>
    <col min="14348" max="14348" width="8" style="140" customWidth="1"/>
    <col min="14349" max="14349" width="16" style="140" customWidth="1"/>
    <col min="14350" max="14350" width="8.81818181818182" style="140" customWidth="1"/>
    <col min="14351" max="14351" width="16.8181818181818" style="140" customWidth="1"/>
    <col min="14352" max="14352" width="9.54545454545454" style="140" customWidth="1"/>
    <col min="14353" max="14353" width="16.0909090909091" style="140" customWidth="1"/>
    <col min="14354" max="14354" width="17.8181818181818" style="140" customWidth="1"/>
    <col min="14355" max="14355" width="14.0909090909091" style="140" customWidth="1"/>
    <col min="14356" max="14356" width="9.09090909090909" style="140"/>
    <col min="14357" max="14357" width="15.5454545454545" style="140" customWidth="1"/>
    <col min="14358" max="14358" width="10.0909090909091" style="140" customWidth="1"/>
    <col min="14359" max="14359" width="12.8181818181818" style="140" customWidth="1"/>
    <col min="14360" max="14594" width="9.09090909090909" style="140"/>
    <col min="14595" max="14595" width="4.54545454545455" style="140" customWidth="1"/>
    <col min="14596" max="14596" width="25.8181818181818" style="140" customWidth="1"/>
    <col min="14597" max="14597" width="16.4545454545455" style="140" customWidth="1"/>
    <col min="14598" max="14598" width="9.27272727272727" style="140" customWidth="1"/>
    <col min="14599" max="14599" width="6.27272727272727" style="140" customWidth="1"/>
    <col min="14600" max="14600" width="14.4545454545455" style="140" customWidth="1"/>
    <col min="14601" max="14601" width="15.5454545454545" style="140" customWidth="1"/>
    <col min="14602" max="14602" width="10.5454545454545" style="140" customWidth="1"/>
    <col min="14603" max="14603" width="14.4545454545455" style="140" customWidth="1"/>
    <col min="14604" max="14604" width="8" style="140" customWidth="1"/>
    <col min="14605" max="14605" width="16" style="140" customWidth="1"/>
    <col min="14606" max="14606" width="8.81818181818182" style="140" customWidth="1"/>
    <col min="14607" max="14607" width="16.8181818181818" style="140" customWidth="1"/>
    <col min="14608" max="14608" width="9.54545454545454" style="140" customWidth="1"/>
    <col min="14609" max="14609" width="16.0909090909091" style="140" customWidth="1"/>
    <col min="14610" max="14610" width="17.8181818181818" style="140" customWidth="1"/>
    <col min="14611" max="14611" width="14.0909090909091" style="140" customWidth="1"/>
    <col min="14612" max="14612" width="9.09090909090909" style="140"/>
    <col min="14613" max="14613" width="15.5454545454545" style="140" customWidth="1"/>
    <col min="14614" max="14614" width="10.0909090909091" style="140" customWidth="1"/>
    <col min="14615" max="14615" width="12.8181818181818" style="140" customWidth="1"/>
    <col min="14616" max="14850" width="9.09090909090909" style="140"/>
    <col min="14851" max="14851" width="4.54545454545455" style="140" customWidth="1"/>
    <col min="14852" max="14852" width="25.8181818181818" style="140" customWidth="1"/>
    <col min="14853" max="14853" width="16.4545454545455" style="140" customWidth="1"/>
    <col min="14854" max="14854" width="9.27272727272727" style="140" customWidth="1"/>
    <col min="14855" max="14855" width="6.27272727272727" style="140" customWidth="1"/>
    <col min="14856" max="14856" width="14.4545454545455" style="140" customWidth="1"/>
    <col min="14857" max="14857" width="15.5454545454545" style="140" customWidth="1"/>
    <col min="14858" max="14858" width="10.5454545454545" style="140" customWidth="1"/>
    <col min="14859" max="14859" width="14.4545454545455" style="140" customWidth="1"/>
    <col min="14860" max="14860" width="8" style="140" customWidth="1"/>
    <col min="14861" max="14861" width="16" style="140" customWidth="1"/>
    <col min="14862" max="14862" width="8.81818181818182" style="140" customWidth="1"/>
    <col min="14863" max="14863" width="16.8181818181818" style="140" customWidth="1"/>
    <col min="14864" max="14864" width="9.54545454545454" style="140" customWidth="1"/>
    <col min="14865" max="14865" width="16.0909090909091" style="140" customWidth="1"/>
    <col min="14866" max="14866" width="17.8181818181818" style="140" customWidth="1"/>
    <col min="14867" max="14867" width="14.0909090909091" style="140" customWidth="1"/>
    <col min="14868" max="14868" width="9.09090909090909" style="140"/>
    <col min="14869" max="14869" width="15.5454545454545" style="140" customWidth="1"/>
    <col min="14870" max="14870" width="10.0909090909091" style="140" customWidth="1"/>
    <col min="14871" max="14871" width="12.8181818181818" style="140" customWidth="1"/>
    <col min="14872" max="15106" width="9.09090909090909" style="140"/>
    <col min="15107" max="15107" width="4.54545454545455" style="140" customWidth="1"/>
    <col min="15108" max="15108" width="25.8181818181818" style="140" customWidth="1"/>
    <col min="15109" max="15109" width="16.4545454545455" style="140" customWidth="1"/>
    <col min="15110" max="15110" width="9.27272727272727" style="140" customWidth="1"/>
    <col min="15111" max="15111" width="6.27272727272727" style="140" customWidth="1"/>
    <col min="15112" max="15112" width="14.4545454545455" style="140" customWidth="1"/>
    <col min="15113" max="15113" width="15.5454545454545" style="140" customWidth="1"/>
    <col min="15114" max="15114" width="10.5454545454545" style="140" customWidth="1"/>
    <col min="15115" max="15115" width="14.4545454545455" style="140" customWidth="1"/>
    <col min="15116" max="15116" width="8" style="140" customWidth="1"/>
    <col min="15117" max="15117" width="16" style="140" customWidth="1"/>
    <col min="15118" max="15118" width="8.81818181818182" style="140" customWidth="1"/>
    <col min="15119" max="15119" width="16.8181818181818" style="140" customWidth="1"/>
    <col min="15120" max="15120" width="9.54545454545454" style="140" customWidth="1"/>
    <col min="15121" max="15121" width="16.0909090909091" style="140" customWidth="1"/>
    <col min="15122" max="15122" width="17.8181818181818" style="140" customWidth="1"/>
    <col min="15123" max="15123" width="14.0909090909091" style="140" customWidth="1"/>
    <col min="15124" max="15124" width="9.09090909090909" style="140"/>
    <col min="15125" max="15125" width="15.5454545454545" style="140" customWidth="1"/>
    <col min="15126" max="15126" width="10.0909090909091" style="140" customWidth="1"/>
    <col min="15127" max="15127" width="12.8181818181818" style="140" customWidth="1"/>
    <col min="15128" max="15362" width="9.09090909090909" style="140"/>
    <col min="15363" max="15363" width="4.54545454545455" style="140" customWidth="1"/>
    <col min="15364" max="15364" width="25.8181818181818" style="140" customWidth="1"/>
    <col min="15365" max="15365" width="16.4545454545455" style="140" customWidth="1"/>
    <col min="15366" max="15366" width="9.27272727272727" style="140" customWidth="1"/>
    <col min="15367" max="15367" width="6.27272727272727" style="140" customWidth="1"/>
    <col min="15368" max="15368" width="14.4545454545455" style="140" customWidth="1"/>
    <col min="15369" max="15369" width="15.5454545454545" style="140" customWidth="1"/>
    <col min="15370" max="15370" width="10.5454545454545" style="140" customWidth="1"/>
    <col min="15371" max="15371" width="14.4545454545455" style="140" customWidth="1"/>
    <col min="15372" max="15372" width="8" style="140" customWidth="1"/>
    <col min="15373" max="15373" width="16" style="140" customWidth="1"/>
    <col min="15374" max="15374" width="8.81818181818182" style="140" customWidth="1"/>
    <col min="15375" max="15375" width="16.8181818181818" style="140" customWidth="1"/>
    <col min="15376" max="15376" width="9.54545454545454" style="140" customWidth="1"/>
    <col min="15377" max="15377" width="16.0909090909091" style="140" customWidth="1"/>
    <col min="15378" max="15378" width="17.8181818181818" style="140" customWidth="1"/>
    <col min="15379" max="15379" width="14.0909090909091" style="140" customWidth="1"/>
    <col min="15380" max="15380" width="9.09090909090909" style="140"/>
    <col min="15381" max="15381" width="15.5454545454545" style="140" customWidth="1"/>
    <col min="15382" max="15382" width="10.0909090909091" style="140" customWidth="1"/>
    <col min="15383" max="15383" width="12.8181818181818" style="140" customWidth="1"/>
    <col min="15384" max="15618" width="9.09090909090909" style="140"/>
    <col min="15619" max="15619" width="4.54545454545455" style="140" customWidth="1"/>
    <col min="15620" max="15620" width="25.8181818181818" style="140" customWidth="1"/>
    <col min="15621" max="15621" width="16.4545454545455" style="140" customWidth="1"/>
    <col min="15622" max="15622" width="9.27272727272727" style="140" customWidth="1"/>
    <col min="15623" max="15623" width="6.27272727272727" style="140" customWidth="1"/>
    <col min="15624" max="15624" width="14.4545454545455" style="140" customWidth="1"/>
    <col min="15625" max="15625" width="15.5454545454545" style="140" customWidth="1"/>
    <col min="15626" max="15626" width="10.5454545454545" style="140" customWidth="1"/>
    <col min="15627" max="15627" width="14.4545454545455" style="140" customWidth="1"/>
    <col min="15628" max="15628" width="8" style="140" customWidth="1"/>
    <col min="15629" max="15629" width="16" style="140" customWidth="1"/>
    <col min="15630" max="15630" width="8.81818181818182" style="140" customWidth="1"/>
    <col min="15631" max="15631" width="16.8181818181818" style="140" customWidth="1"/>
    <col min="15632" max="15632" width="9.54545454545454" style="140" customWidth="1"/>
    <col min="15633" max="15633" width="16.0909090909091" style="140" customWidth="1"/>
    <col min="15634" max="15634" width="17.8181818181818" style="140" customWidth="1"/>
    <col min="15635" max="15635" width="14.0909090909091" style="140" customWidth="1"/>
    <col min="15636" max="15636" width="9.09090909090909" style="140"/>
    <col min="15637" max="15637" width="15.5454545454545" style="140" customWidth="1"/>
    <col min="15638" max="15638" width="10.0909090909091" style="140" customWidth="1"/>
    <col min="15639" max="15639" width="12.8181818181818" style="140" customWidth="1"/>
    <col min="15640" max="15874" width="9.09090909090909" style="140"/>
    <col min="15875" max="15875" width="4.54545454545455" style="140" customWidth="1"/>
    <col min="15876" max="15876" width="25.8181818181818" style="140" customWidth="1"/>
    <col min="15877" max="15877" width="16.4545454545455" style="140" customWidth="1"/>
    <col min="15878" max="15878" width="9.27272727272727" style="140" customWidth="1"/>
    <col min="15879" max="15879" width="6.27272727272727" style="140" customWidth="1"/>
    <col min="15880" max="15880" width="14.4545454545455" style="140" customWidth="1"/>
    <col min="15881" max="15881" width="15.5454545454545" style="140" customWidth="1"/>
    <col min="15882" max="15882" width="10.5454545454545" style="140" customWidth="1"/>
    <col min="15883" max="15883" width="14.4545454545455" style="140" customWidth="1"/>
    <col min="15884" max="15884" width="8" style="140" customWidth="1"/>
    <col min="15885" max="15885" width="16" style="140" customWidth="1"/>
    <col min="15886" max="15886" width="8.81818181818182" style="140" customWidth="1"/>
    <col min="15887" max="15887" width="16.8181818181818" style="140" customWidth="1"/>
    <col min="15888" max="15888" width="9.54545454545454" style="140" customWidth="1"/>
    <col min="15889" max="15889" width="16.0909090909091" style="140" customWidth="1"/>
    <col min="15890" max="15890" width="17.8181818181818" style="140" customWidth="1"/>
    <col min="15891" max="15891" width="14.0909090909091" style="140" customWidth="1"/>
    <col min="15892" max="15892" width="9.09090909090909" style="140"/>
    <col min="15893" max="15893" width="15.5454545454545" style="140" customWidth="1"/>
    <col min="15894" max="15894" width="10.0909090909091" style="140" customWidth="1"/>
    <col min="15895" max="15895" width="12.8181818181818" style="140" customWidth="1"/>
    <col min="15896" max="16130" width="9.09090909090909" style="140"/>
    <col min="16131" max="16131" width="4.54545454545455" style="140" customWidth="1"/>
    <col min="16132" max="16132" width="25.8181818181818" style="140" customWidth="1"/>
    <col min="16133" max="16133" width="16.4545454545455" style="140" customWidth="1"/>
    <col min="16134" max="16134" width="9.27272727272727" style="140" customWidth="1"/>
    <col min="16135" max="16135" width="6.27272727272727" style="140" customWidth="1"/>
    <col min="16136" max="16136" width="14.4545454545455" style="140" customWidth="1"/>
    <col min="16137" max="16137" width="15.5454545454545" style="140" customWidth="1"/>
    <col min="16138" max="16138" width="10.5454545454545" style="140" customWidth="1"/>
    <col min="16139" max="16139" width="14.4545454545455" style="140" customWidth="1"/>
    <col min="16140" max="16140" width="8" style="140" customWidth="1"/>
    <col min="16141" max="16141" width="16" style="140" customWidth="1"/>
    <col min="16142" max="16142" width="8.81818181818182" style="140" customWidth="1"/>
    <col min="16143" max="16143" width="16.8181818181818" style="140" customWidth="1"/>
    <col min="16144" max="16144" width="9.54545454545454" style="140" customWidth="1"/>
    <col min="16145" max="16145" width="16.0909090909091" style="140" customWidth="1"/>
    <col min="16146" max="16146" width="17.8181818181818" style="140" customWidth="1"/>
    <col min="16147" max="16147" width="14.0909090909091" style="140" customWidth="1"/>
    <col min="16148" max="16148" width="9.09090909090909" style="140"/>
    <col min="16149" max="16149" width="15.5454545454545" style="140" customWidth="1"/>
    <col min="16150" max="16150" width="10.0909090909091" style="140" customWidth="1"/>
    <col min="16151" max="16151" width="12.8181818181818" style="140" customWidth="1"/>
    <col min="16152" max="16383" width="9.09090909090909" style="140"/>
    <col min="16384" max="16384" width="9.09090909090909"/>
  </cols>
  <sheetData>
    <row r="1" ht="18.75" customHeight="1" spans="1:25">
      <c r="A1" s="142" t="str">
        <f>'[43]Data Pokok'!A2</f>
        <v>BADAN USAHA MILIK DESA BATUPUTE</v>
      </c>
      <c r="B1" s="142"/>
      <c r="C1" s="143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</row>
    <row r="2" ht="18.75" customHeight="1" spans="1:25">
      <c r="A2" s="144" t="str">
        <f>'[43]Data Pokok'!C74</f>
        <v>DAFTAR INVENTARIS</v>
      </c>
      <c r="B2" s="144"/>
      <c r="C2" s="145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</row>
    <row r="3" ht="18.75" customHeight="1" spans="1:25">
      <c r="A3" s="142" t="s">
        <v>964</v>
      </c>
      <c r="B3" s="142"/>
      <c r="C3" s="143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</row>
    <row r="4" ht="18.75" customHeight="1" spans="1:25">
      <c r="A4" s="142"/>
      <c r="B4" s="142"/>
      <c r="C4" s="143"/>
      <c r="D4" s="142"/>
      <c r="E4" s="142"/>
      <c r="F4" s="142"/>
      <c r="G4" s="142"/>
      <c r="H4" s="142"/>
      <c r="I4" s="142"/>
      <c r="J4" s="142"/>
      <c r="K4" s="142"/>
      <c r="L4" s="142"/>
      <c r="M4" s="146"/>
      <c r="N4" s="142"/>
      <c r="O4" s="142"/>
    </row>
    <row r="5" spans="1:25">
      <c r="A5" s="147" t="str">
        <f>'[43]Data Pokok'!A10</f>
        <v>Desa / Kecamatan</v>
      </c>
      <c r="B5" s="148"/>
      <c r="C5" s="143" t="str">
        <f>":   "&amp;'[43]Data Pokok'!D10</f>
        <v>:   Batupute</v>
      </c>
      <c r="D5" s="148"/>
      <c r="E5" s="148"/>
      <c r="F5" s="148"/>
      <c r="G5" s="148"/>
      <c r="H5" s="147"/>
      <c r="I5" s="149"/>
      <c r="J5" s="149"/>
      <c r="K5" s="149"/>
      <c r="L5" s="148"/>
      <c r="M5" s="148"/>
      <c r="N5" s="148"/>
      <c r="O5" s="148"/>
      <c r="P5" s="148"/>
      <c r="Q5" s="148"/>
      <c r="R5" s="148"/>
    </row>
    <row r="6" spans="1:25">
      <c r="A6" s="147" t="str">
        <f>'[43]Data Pokok'!A11</f>
        <v>Kabupaten</v>
      </c>
      <c r="B6" s="148"/>
      <c r="C6" s="143" t="str">
        <f>":   "&amp;'[43]Data Pokok'!D11</f>
        <v>:   BARRU</v>
      </c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</row>
    <row r="7" spans="1:25">
      <c r="A7" s="147" t="str">
        <f>'[43]Data Pokok'!A12</f>
        <v>Provinsi</v>
      </c>
      <c r="B7" s="148"/>
      <c r="C7" s="143" t="str">
        <f>":   "&amp;'[43]Data Pokok'!D12</f>
        <v>:   SULAWESI SELATAN</v>
      </c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</row>
    <row r="8" ht="19.25" spans="1:25">
      <c r="A8" s="147"/>
      <c r="B8" s="148"/>
      <c r="C8" s="143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</row>
    <row r="9" s="138" customFormat="1" ht="39" customHeight="1" spans="1:25">
      <c r="A9" s="150" t="s">
        <v>803</v>
      </c>
      <c r="B9" s="151" t="s">
        <v>965</v>
      </c>
      <c r="C9" s="151" t="s">
        <v>966</v>
      </c>
      <c r="D9" s="151" t="s">
        <v>967</v>
      </c>
      <c r="E9" s="151" t="s">
        <v>968</v>
      </c>
      <c r="F9" s="151" t="s">
        <v>969</v>
      </c>
      <c r="G9" s="151" t="s">
        <v>970</v>
      </c>
      <c r="H9" s="151" t="s">
        <v>971</v>
      </c>
      <c r="I9" s="151" t="s">
        <v>972</v>
      </c>
      <c r="J9" s="152" t="s">
        <v>973</v>
      </c>
      <c r="K9" s="153" t="s">
        <v>974</v>
      </c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3" t="s">
        <v>975</v>
      </c>
      <c r="X9" s="155" t="s">
        <v>976</v>
      </c>
      <c r="Y9" s="155" t="s">
        <v>977</v>
      </c>
    </row>
    <row r="10" s="138" customFormat="1" ht="38" customHeight="1" spans="1:25">
      <c r="A10" s="156"/>
      <c r="B10" s="157"/>
      <c r="C10" s="157"/>
      <c r="D10" s="157"/>
      <c r="E10" s="157"/>
      <c r="F10" s="157"/>
      <c r="G10" s="157"/>
      <c r="H10" s="157"/>
      <c r="I10" s="157"/>
      <c r="J10" s="152"/>
      <c r="K10" s="158" t="s">
        <v>181</v>
      </c>
      <c r="L10" s="158" t="s">
        <v>182</v>
      </c>
      <c r="M10" s="152" t="s">
        <v>767</v>
      </c>
      <c r="N10" s="159" t="s">
        <v>777</v>
      </c>
      <c r="O10" s="152" t="s">
        <v>185</v>
      </c>
      <c r="P10" s="152" t="s">
        <v>778</v>
      </c>
      <c r="Q10" s="153" t="s">
        <v>783</v>
      </c>
      <c r="R10" s="152" t="s">
        <v>784</v>
      </c>
      <c r="S10" s="153" t="s">
        <v>785</v>
      </c>
      <c r="T10" s="152" t="s">
        <v>791</v>
      </c>
      <c r="U10" s="153" t="s">
        <v>792</v>
      </c>
      <c r="V10" s="153" t="s">
        <v>978</v>
      </c>
      <c r="W10" s="153"/>
      <c r="X10" s="160"/>
      <c r="Y10" s="157"/>
    </row>
    <row r="11" spans="1:25">
      <c r="A11" s="161"/>
      <c r="B11" s="162" t="s">
        <v>979</v>
      </c>
      <c r="C11" s="163"/>
      <c r="D11" s="164"/>
      <c r="E11" s="165"/>
      <c r="F11" s="165"/>
      <c r="G11" s="165"/>
      <c r="H11" s="165">
        <v>240</v>
      </c>
      <c r="I11" s="165"/>
      <c r="J11" s="166"/>
      <c r="K11" s="167"/>
      <c r="L11" s="167"/>
      <c r="M11" s="167"/>
      <c r="N11" s="167"/>
      <c r="O11" s="167"/>
      <c r="P11" s="167"/>
      <c r="Q11" s="167"/>
      <c r="R11" s="168"/>
      <c r="S11" s="167"/>
      <c r="T11" s="168"/>
      <c r="U11" s="167"/>
      <c r="V11" s="168"/>
      <c r="W11" s="169"/>
      <c r="X11" s="170"/>
      <c r="Y11" s="170"/>
    </row>
    <row r="12" spans="1:25">
      <c r="A12" s="171"/>
      <c r="B12" s="172"/>
      <c r="C12" s="173"/>
      <c r="D12" s="174"/>
      <c r="E12" s="175"/>
      <c r="F12" s="176"/>
      <c r="G12" s="176"/>
      <c r="H12" s="177"/>
      <c r="I12" s="178"/>
      <c r="J12" s="179"/>
      <c r="K12" s="179"/>
      <c r="L12" s="179"/>
      <c r="M12" s="179"/>
      <c r="N12" s="179"/>
      <c r="O12" s="179"/>
      <c r="P12" s="179"/>
      <c r="Q12" s="179"/>
      <c r="R12" s="180"/>
      <c r="S12" s="179"/>
      <c r="T12" s="180"/>
      <c r="U12" s="179"/>
      <c r="V12" s="180"/>
      <c r="W12" s="181"/>
      <c r="X12" s="170"/>
      <c r="Y12" s="170"/>
    </row>
    <row r="13" spans="1:25">
      <c r="A13" s="171"/>
      <c r="B13" s="172"/>
      <c r="C13" s="173"/>
      <c r="D13" s="174"/>
      <c r="E13" s="175"/>
      <c r="F13" s="176"/>
      <c r="G13" s="176"/>
      <c r="H13" s="177"/>
      <c r="I13" s="178"/>
      <c r="J13" s="179"/>
      <c r="K13" s="179"/>
      <c r="L13" s="179"/>
      <c r="M13" s="179"/>
      <c r="N13" s="179"/>
      <c r="O13" s="179"/>
      <c r="P13" s="179"/>
      <c r="Q13" s="179"/>
      <c r="R13" s="180"/>
      <c r="S13" s="179"/>
      <c r="T13" s="180"/>
      <c r="U13" s="179"/>
      <c r="V13" s="180"/>
      <c r="W13" s="181"/>
      <c r="X13" s="170"/>
      <c r="Y13" s="170"/>
    </row>
    <row r="14" spans="1:25">
      <c r="A14" s="171"/>
      <c r="B14" s="182" t="s">
        <v>980</v>
      </c>
      <c r="C14" s="173"/>
      <c r="D14" s="174"/>
      <c r="E14" s="175"/>
      <c r="F14" s="176"/>
      <c r="G14" s="176"/>
      <c r="H14" s="177">
        <v>60</v>
      </c>
      <c r="I14" s="178"/>
      <c r="J14" s="179"/>
      <c r="K14" s="179"/>
      <c r="L14" s="179"/>
      <c r="M14" s="179"/>
      <c r="N14" s="179"/>
      <c r="O14" s="179"/>
      <c r="P14" s="179"/>
      <c r="Q14" s="179"/>
      <c r="R14" s="180"/>
      <c r="S14" s="179"/>
      <c r="T14" s="180"/>
      <c r="U14" s="179"/>
      <c r="V14" s="180"/>
      <c r="W14" s="181"/>
      <c r="X14" s="170"/>
      <c r="Y14" s="170"/>
    </row>
    <row r="15" spans="1:25">
      <c r="A15" s="183">
        <v>1</v>
      </c>
      <c r="B15" s="184" t="s">
        <v>981</v>
      </c>
      <c r="C15" s="1063" t="s">
        <v>982</v>
      </c>
      <c r="D15" s="186" t="s">
        <v>983</v>
      </c>
      <c r="E15" s="187">
        <v>1</v>
      </c>
      <c r="F15" s="180">
        <v>12500000</v>
      </c>
      <c r="G15" s="176">
        <f t="shared" ref="G15:G17" si="0">SUM(E15*F15)</f>
        <v>12500000</v>
      </c>
      <c r="H15" s="177">
        <v>60</v>
      </c>
      <c r="I15" s="178">
        <f t="shared" ref="I15:I17" si="1">SUM(G15/H15)</f>
        <v>208333.333333333</v>
      </c>
      <c r="J15" s="179"/>
      <c r="K15" s="179"/>
      <c r="L15" s="179"/>
      <c r="M15" s="179"/>
      <c r="N15" s="179"/>
      <c r="O15" s="179"/>
      <c r="P15" s="179"/>
      <c r="Q15" s="179"/>
      <c r="R15" s="180">
        <f t="shared" ref="R15:R17" si="2">I15</f>
        <v>208333.333333333</v>
      </c>
      <c r="S15" s="179">
        <f t="shared" ref="S15:S17" si="3">SUM(I15)</f>
        <v>208333.333333333</v>
      </c>
      <c r="T15" s="180">
        <f t="shared" ref="T15:T17" si="4">SUM(I15)</f>
        <v>208333.333333333</v>
      </c>
      <c r="U15" s="179">
        <f t="shared" ref="U15:U17" si="5">SUM(I15)</f>
        <v>208333.333333333</v>
      </c>
      <c r="V15" s="180">
        <f t="shared" ref="V15:V17" si="6">SUM(I15)</f>
        <v>208333.333333333</v>
      </c>
      <c r="W15" s="181">
        <f t="shared" ref="W15:W17" si="7">SUM(K15:V15)</f>
        <v>1041666.66666667</v>
      </c>
      <c r="X15" s="188">
        <f t="shared" ref="X15:X17" si="8">H15-5</f>
        <v>55</v>
      </c>
      <c r="Y15" s="170"/>
    </row>
    <row r="16" spans="1:25">
      <c r="A16" s="189">
        <v>2</v>
      </c>
      <c r="B16" s="190" t="s">
        <v>797</v>
      </c>
      <c r="C16" s="1064" t="s">
        <v>982</v>
      </c>
      <c r="D16" s="192" t="s">
        <v>983</v>
      </c>
      <c r="E16" s="193">
        <v>1</v>
      </c>
      <c r="F16" s="194">
        <v>35000000</v>
      </c>
      <c r="G16" s="176">
        <f t="shared" si="0"/>
        <v>35000000</v>
      </c>
      <c r="H16" s="177">
        <v>60</v>
      </c>
      <c r="I16" s="178">
        <f t="shared" si="1"/>
        <v>583333.333333333</v>
      </c>
      <c r="J16" s="179"/>
      <c r="K16" s="179"/>
      <c r="L16" s="179"/>
      <c r="M16" s="179"/>
      <c r="N16" s="179"/>
      <c r="O16" s="179"/>
      <c r="P16" s="179"/>
      <c r="Q16" s="179"/>
      <c r="R16" s="180">
        <f t="shared" si="2"/>
        <v>583333.333333333</v>
      </c>
      <c r="S16" s="179">
        <f t="shared" si="3"/>
        <v>583333.333333333</v>
      </c>
      <c r="T16" s="180">
        <f t="shared" si="4"/>
        <v>583333.333333333</v>
      </c>
      <c r="U16" s="179">
        <f t="shared" si="5"/>
        <v>583333.333333333</v>
      </c>
      <c r="V16" s="180">
        <f t="shared" si="6"/>
        <v>583333.333333333</v>
      </c>
      <c r="W16" s="181">
        <f t="shared" si="7"/>
        <v>2916666.66666667</v>
      </c>
      <c r="X16" s="188">
        <f t="shared" si="8"/>
        <v>55</v>
      </c>
      <c r="Y16" s="170"/>
    </row>
    <row r="17" spans="1:25">
      <c r="A17" s="190">
        <v>3</v>
      </c>
      <c r="B17" s="190" t="s">
        <v>984</v>
      </c>
      <c r="C17" s="1064" t="s">
        <v>982</v>
      </c>
      <c r="D17" s="192" t="s">
        <v>983</v>
      </c>
      <c r="E17" s="193">
        <v>7</v>
      </c>
      <c r="F17" s="194">
        <v>15000000</v>
      </c>
      <c r="G17" s="195">
        <f t="shared" si="0"/>
        <v>105000000</v>
      </c>
      <c r="H17" s="196">
        <v>60</v>
      </c>
      <c r="I17" s="178">
        <f t="shared" si="1"/>
        <v>1750000</v>
      </c>
      <c r="J17" s="197"/>
      <c r="K17" s="197"/>
      <c r="L17" s="197"/>
      <c r="M17" s="197"/>
      <c r="N17" s="197"/>
      <c r="O17" s="197"/>
      <c r="P17" s="197"/>
      <c r="Q17" s="197"/>
      <c r="R17" s="180">
        <f t="shared" si="2"/>
        <v>1750000</v>
      </c>
      <c r="S17" s="179">
        <f t="shared" si="3"/>
        <v>1750000</v>
      </c>
      <c r="T17" s="180">
        <f t="shared" si="4"/>
        <v>1750000</v>
      </c>
      <c r="U17" s="179">
        <f t="shared" si="5"/>
        <v>1750000</v>
      </c>
      <c r="V17" s="180">
        <f t="shared" si="6"/>
        <v>1750000</v>
      </c>
      <c r="W17" s="181">
        <f t="shared" si="7"/>
        <v>8750000</v>
      </c>
      <c r="X17" s="188">
        <f t="shared" si="8"/>
        <v>55</v>
      </c>
      <c r="Y17" s="170"/>
    </row>
    <row r="18" spans="1:25">
      <c r="A18" s="184"/>
      <c r="B18" s="184"/>
      <c r="C18" s="185"/>
      <c r="D18" s="186"/>
      <c r="E18" s="187"/>
      <c r="F18" s="180"/>
      <c r="G18" s="198">
        <f>SUM(G15:G17)</f>
        <v>152500000</v>
      </c>
      <c r="H18" s="199"/>
      <c r="I18" s="178"/>
      <c r="J18" s="180"/>
      <c r="K18" s="180"/>
      <c r="L18" s="180"/>
      <c r="M18" s="180"/>
      <c r="N18" s="180"/>
      <c r="O18" s="180"/>
      <c r="P18" s="180"/>
      <c r="Q18" s="180"/>
      <c r="R18" s="198">
        <f t="shared" ref="R18:V18" si="9">SUM(R15:R17)</f>
        <v>2541666.66666667</v>
      </c>
      <c r="S18" s="198">
        <f t="shared" si="9"/>
        <v>2541666.66666667</v>
      </c>
      <c r="T18" s="198">
        <f t="shared" si="9"/>
        <v>2541666.66666667</v>
      </c>
      <c r="U18" s="198">
        <f t="shared" si="9"/>
        <v>2541666.66666667</v>
      </c>
      <c r="V18" s="198">
        <f t="shared" si="9"/>
        <v>2541666.66666667</v>
      </c>
      <c r="W18" s="181"/>
      <c r="X18" s="170"/>
      <c r="Y18" s="170"/>
    </row>
    <row r="19" spans="1:25">
      <c r="A19" s="184">
        <v>4</v>
      </c>
      <c r="B19" s="184" t="s">
        <v>985</v>
      </c>
      <c r="C19" s="1063" t="s">
        <v>986</v>
      </c>
      <c r="D19" s="186" t="s">
        <v>983</v>
      </c>
      <c r="E19" s="187">
        <v>1</v>
      </c>
      <c r="F19" s="180">
        <v>42510000</v>
      </c>
      <c r="G19" s="180">
        <f>E19*F19</f>
        <v>42510000</v>
      </c>
      <c r="H19" s="199">
        <v>60</v>
      </c>
      <c r="I19" s="178">
        <f>SUM(G19/H19)</f>
        <v>708500</v>
      </c>
      <c r="J19" s="180"/>
      <c r="K19" s="180"/>
      <c r="L19" s="180"/>
      <c r="M19" s="180"/>
      <c r="N19" s="180"/>
      <c r="O19" s="180"/>
      <c r="P19" s="180"/>
      <c r="Q19" s="180"/>
      <c r="R19" s="180"/>
      <c r="S19" s="180">
        <f>SUM(I19)</f>
        <v>708500</v>
      </c>
      <c r="T19" s="180">
        <f>SUM(I19)</f>
        <v>708500</v>
      </c>
      <c r="U19" s="180">
        <f>SUM(I19)</f>
        <v>708500</v>
      </c>
      <c r="V19" s="180">
        <f>SUM(I19)</f>
        <v>708500</v>
      </c>
      <c r="W19" s="181">
        <f>SUM(K19:V19)</f>
        <v>2834000</v>
      </c>
      <c r="X19" s="188">
        <f>SUM(H19-4)</f>
        <v>56</v>
      </c>
      <c r="Y19" s="170"/>
    </row>
    <row r="20" spans="1:25">
      <c r="A20" s="184"/>
      <c r="B20" s="184"/>
      <c r="C20" s="185"/>
      <c r="D20" s="186"/>
      <c r="E20" s="187"/>
      <c r="F20" s="180"/>
      <c r="G20" s="198">
        <f>SUM(G19:G19)</f>
        <v>42510000</v>
      </c>
      <c r="H20" s="199"/>
      <c r="I20" s="200"/>
      <c r="J20" s="180"/>
      <c r="K20" s="180"/>
      <c r="L20" s="180"/>
      <c r="M20" s="180"/>
      <c r="N20" s="180"/>
      <c r="O20" s="180"/>
      <c r="P20" s="180"/>
      <c r="Q20" s="180"/>
      <c r="R20" s="180"/>
      <c r="S20" s="198">
        <f t="shared" ref="S20:V20" si="10">SUM(S19:S19)</f>
        <v>708500</v>
      </c>
      <c r="T20" s="198">
        <f>T19</f>
        <v>708500</v>
      </c>
      <c r="U20" s="198">
        <f t="shared" si="10"/>
        <v>708500</v>
      </c>
      <c r="V20" s="198">
        <f t="shared" si="10"/>
        <v>708500</v>
      </c>
      <c r="W20" s="181"/>
      <c r="X20" s="170"/>
      <c r="Y20" s="170"/>
    </row>
    <row r="21" spans="1:25">
      <c r="A21" s="184">
        <v>5</v>
      </c>
      <c r="B21" s="184" t="s">
        <v>987</v>
      </c>
      <c r="C21" s="1063" t="s">
        <v>988</v>
      </c>
      <c r="D21" s="186"/>
      <c r="E21" s="187">
        <v>2</v>
      </c>
      <c r="F21" s="180">
        <v>15000000</v>
      </c>
      <c r="G21" s="180">
        <f>SUM(E21*F21)</f>
        <v>30000000</v>
      </c>
      <c r="H21" s="199">
        <v>60</v>
      </c>
      <c r="I21" s="200">
        <f>SUM(G21/H21)</f>
        <v>500000</v>
      </c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180">
        <f t="shared" ref="T21:T27" si="11">SUM(I21)</f>
        <v>500000</v>
      </c>
      <c r="U21" s="180">
        <f t="shared" ref="U21:U27" si="12">SUM(I21)</f>
        <v>500000</v>
      </c>
      <c r="V21" s="180">
        <f t="shared" ref="V21:V27" si="13">SUM(I21)</f>
        <v>500000</v>
      </c>
      <c r="W21" s="181">
        <f t="shared" ref="W21:W27" si="14">SUM(K21:V21)</f>
        <v>1500000</v>
      </c>
      <c r="X21" s="188">
        <f>SUM(H21-3)</f>
        <v>57</v>
      </c>
      <c r="Y21" s="170"/>
    </row>
    <row r="22" spans="1:25">
      <c r="A22" s="184"/>
      <c r="B22" s="184"/>
      <c r="C22" s="185"/>
      <c r="D22" s="186"/>
      <c r="E22" s="187"/>
      <c r="F22" s="180"/>
      <c r="G22" s="198">
        <f>SUM(G21)</f>
        <v>30000000</v>
      </c>
      <c r="H22" s="199"/>
      <c r="I22" s="200"/>
      <c r="J22" s="180"/>
      <c r="K22" s="180"/>
      <c r="L22" s="180"/>
      <c r="M22" s="180"/>
      <c r="N22" s="180"/>
      <c r="O22" s="180"/>
      <c r="P22" s="180"/>
      <c r="Q22" s="180"/>
      <c r="R22" s="180"/>
      <c r="S22" s="180"/>
      <c r="T22" s="198">
        <f t="shared" ref="T22:V22" si="15">SUM(T21:T21)</f>
        <v>500000</v>
      </c>
      <c r="U22" s="198">
        <f t="shared" si="15"/>
        <v>500000</v>
      </c>
      <c r="V22" s="198">
        <f t="shared" si="15"/>
        <v>500000</v>
      </c>
      <c r="W22" s="181"/>
      <c r="X22" s="170"/>
      <c r="Y22" s="170"/>
    </row>
    <row r="23" spans="1:25">
      <c r="A23" s="187"/>
      <c r="B23" s="201"/>
      <c r="C23" s="202"/>
      <c r="D23" s="186"/>
      <c r="E23" s="187"/>
      <c r="F23" s="180"/>
      <c r="G23" s="203">
        <f>SUM(G18+G20+G22+G28+G34+G56+G67+G70+G75+G78+G81)</f>
        <v>304243000</v>
      </c>
      <c r="H23" s="199"/>
      <c r="I23" s="20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/>
      <c r="U23" s="180"/>
      <c r="V23" s="180"/>
      <c r="W23" s="181"/>
      <c r="X23" s="170"/>
      <c r="Y23" s="170"/>
    </row>
    <row r="24" spans="1:25">
      <c r="A24" s="187"/>
      <c r="B24" s="201" t="s">
        <v>989</v>
      </c>
      <c r="C24" s="202"/>
      <c r="D24" s="186"/>
      <c r="E24" s="187"/>
      <c r="F24" s="180"/>
      <c r="G24" s="180"/>
      <c r="H24" s="199">
        <v>48</v>
      </c>
      <c r="I24" s="20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180"/>
      <c r="U24" s="180"/>
      <c r="V24" s="180"/>
      <c r="W24" s="181"/>
      <c r="X24" s="170"/>
      <c r="Y24" s="170"/>
    </row>
    <row r="25" spans="1:25">
      <c r="A25" s="204">
        <v>1</v>
      </c>
      <c r="B25" s="205" t="s">
        <v>990</v>
      </c>
      <c r="C25" s="206">
        <v>45113</v>
      </c>
      <c r="D25" s="186" t="s">
        <v>983</v>
      </c>
      <c r="E25" s="207">
        <v>1</v>
      </c>
      <c r="F25" s="208">
        <v>2400000</v>
      </c>
      <c r="G25" s="208">
        <f>E25*F25</f>
        <v>2400000</v>
      </c>
      <c r="H25" s="209">
        <v>48</v>
      </c>
      <c r="I25" s="178">
        <f t="shared" ref="I25:I27" si="16">G25/H25</f>
        <v>50000</v>
      </c>
      <c r="J25" s="210">
        <f t="shared" ref="J25:J33" si="17">19*I25</f>
        <v>950000</v>
      </c>
      <c r="K25" s="210">
        <f t="shared" ref="K25:K27" si="18">I25</f>
        <v>50000</v>
      </c>
      <c r="L25" s="210">
        <f t="shared" ref="L25:L27" si="19">I25</f>
        <v>50000</v>
      </c>
      <c r="M25" s="180">
        <f t="shared" ref="M25:M27" si="20">I25</f>
        <v>50000</v>
      </c>
      <c r="N25" s="210">
        <f t="shared" ref="N25:N27" si="21">SUM(I25)</f>
        <v>50000</v>
      </c>
      <c r="O25" s="210">
        <f t="shared" ref="O25:O27" si="22">SUM(I25)</f>
        <v>50000</v>
      </c>
      <c r="P25" s="180">
        <f t="shared" ref="P25:P27" si="23">SUM(I25)</f>
        <v>50000</v>
      </c>
      <c r="Q25" s="180">
        <f t="shared" ref="Q25:Q27" si="24">SUM(I25)</f>
        <v>50000</v>
      </c>
      <c r="R25" s="180">
        <f t="shared" ref="R25:R27" si="25">SUM(I25)</f>
        <v>50000</v>
      </c>
      <c r="S25" s="211">
        <f t="shared" ref="S25:S27" si="26">SUM(I25)</f>
        <v>50000</v>
      </c>
      <c r="T25" s="210">
        <f t="shared" si="11"/>
        <v>50000</v>
      </c>
      <c r="U25" s="210">
        <f t="shared" si="12"/>
        <v>50000</v>
      </c>
      <c r="V25" s="210">
        <f t="shared" si="13"/>
        <v>50000</v>
      </c>
      <c r="W25" s="212">
        <f t="shared" si="14"/>
        <v>600000</v>
      </c>
      <c r="X25" s="188">
        <f>H25-31</f>
        <v>17</v>
      </c>
      <c r="Y25" s="170"/>
    </row>
    <row r="26" spans="1:25">
      <c r="A26" s="204">
        <v>2</v>
      </c>
      <c r="B26" s="168" t="s">
        <v>991</v>
      </c>
      <c r="C26" s="1065" t="s">
        <v>992</v>
      </c>
      <c r="D26" s="186" t="s">
        <v>983</v>
      </c>
      <c r="E26" s="214">
        <v>1</v>
      </c>
      <c r="F26" s="210">
        <v>7300000</v>
      </c>
      <c r="G26" s="210">
        <f>F26*E26</f>
        <v>7300000</v>
      </c>
      <c r="H26" s="215">
        <v>48</v>
      </c>
      <c r="I26" s="178">
        <f t="shared" si="16"/>
        <v>152083.333333333</v>
      </c>
      <c r="J26" s="210">
        <f>12*I26</f>
        <v>1825000</v>
      </c>
      <c r="K26" s="210">
        <f t="shared" si="18"/>
        <v>152083.333333333</v>
      </c>
      <c r="L26" s="210">
        <f t="shared" si="19"/>
        <v>152083.333333333</v>
      </c>
      <c r="M26" s="180">
        <f t="shared" si="20"/>
        <v>152083.333333333</v>
      </c>
      <c r="N26" s="210">
        <f t="shared" si="21"/>
        <v>152083.333333333</v>
      </c>
      <c r="O26" s="210">
        <f t="shared" si="22"/>
        <v>152083.333333333</v>
      </c>
      <c r="P26" s="180">
        <f t="shared" si="23"/>
        <v>152083.333333333</v>
      </c>
      <c r="Q26" s="180">
        <f t="shared" si="24"/>
        <v>152083.333333333</v>
      </c>
      <c r="R26" s="180">
        <f t="shared" si="25"/>
        <v>152083.333333333</v>
      </c>
      <c r="S26" s="211">
        <f t="shared" si="26"/>
        <v>152083.333333333</v>
      </c>
      <c r="T26" s="210">
        <f t="shared" si="11"/>
        <v>152083.333333333</v>
      </c>
      <c r="U26" s="210">
        <f t="shared" si="12"/>
        <v>152083.333333333</v>
      </c>
      <c r="V26" s="210">
        <f t="shared" si="13"/>
        <v>152083.333333333</v>
      </c>
      <c r="W26" s="212">
        <f t="shared" si="14"/>
        <v>1825000</v>
      </c>
      <c r="X26" s="188">
        <f>H26-24</f>
        <v>24</v>
      </c>
      <c r="Y26" s="170"/>
    </row>
    <row r="27" spans="1:25">
      <c r="A27" s="204">
        <v>3</v>
      </c>
      <c r="B27" s="168" t="s">
        <v>991</v>
      </c>
      <c r="C27" s="1065" t="s">
        <v>681</v>
      </c>
      <c r="D27" s="186" t="s">
        <v>983</v>
      </c>
      <c r="E27" s="214">
        <v>1</v>
      </c>
      <c r="F27" s="210">
        <v>6603000</v>
      </c>
      <c r="G27" s="210">
        <f>F27*E27</f>
        <v>6603000</v>
      </c>
      <c r="H27" s="215">
        <v>48</v>
      </c>
      <c r="I27" s="178">
        <f t="shared" si="16"/>
        <v>137562.5</v>
      </c>
      <c r="J27" s="210">
        <f>9*I27</f>
        <v>1238062.5</v>
      </c>
      <c r="K27" s="210">
        <f t="shared" si="18"/>
        <v>137562.5</v>
      </c>
      <c r="L27" s="210">
        <f t="shared" si="19"/>
        <v>137562.5</v>
      </c>
      <c r="M27" s="180">
        <f t="shared" si="20"/>
        <v>137562.5</v>
      </c>
      <c r="N27" s="210">
        <f t="shared" si="21"/>
        <v>137562.5</v>
      </c>
      <c r="O27" s="210">
        <f t="shared" si="22"/>
        <v>137562.5</v>
      </c>
      <c r="P27" s="180">
        <f t="shared" si="23"/>
        <v>137562.5</v>
      </c>
      <c r="Q27" s="180">
        <f t="shared" si="24"/>
        <v>137562.5</v>
      </c>
      <c r="R27" s="180">
        <f t="shared" si="25"/>
        <v>137562.5</v>
      </c>
      <c r="S27" s="211">
        <f t="shared" si="26"/>
        <v>137562.5</v>
      </c>
      <c r="T27" s="210">
        <f t="shared" si="11"/>
        <v>137562.5</v>
      </c>
      <c r="U27" s="210">
        <f t="shared" si="12"/>
        <v>137562.5</v>
      </c>
      <c r="V27" s="210">
        <f t="shared" si="13"/>
        <v>137562.5</v>
      </c>
      <c r="W27" s="212">
        <f t="shared" si="14"/>
        <v>1650750</v>
      </c>
      <c r="X27" s="188">
        <f>SUM(H27-21)</f>
        <v>27</v>
      </c>
      <c r="Y27" s="170"/>
    </row>
    <row r="28" spans="1:25">
      <c r="A28" s="171"/>
      <c r="B28" s="172"/>
      <c r="C28" s="173"/>
      <c r="D28" s="174"/>
      <c r="E28" s="175"/>
      <c r="F28" s="176"/>
      <c r="G28" s="216">
        <f t="shared" ref="G28:V28" si="27">SUM(G25:G27)</f>
        <v>16303000</v>
      </c>
      <c r="H28" s="177"/>
      <c r="I28" s="178"/>
      <c r="J28" s="198">
        <f t="shared" si="27"/>
        <v>4013062.5</v>
      </c>
      <c r="K28" s="198">
        <f t="shared" si="27"/>
        <v>339645.833333333</v>
      </c>
      <c r="L28" s="198">
        <f t="shared" si="27"/>
        <v>339645.833333333</v>
      </c>
      <c r="M28" s="198">
        <f t="shared" si="27"/>
        <v>339645.833333333</v>
      </c>
      <c r="N28" s="198">
        <f t="shared" si="27"/>
        <v>339645.833333333</v>
      </c>
      <c r="O28" s="198">
        <f t="shared" si="27"/>
        <v>339645.833333333</v>
      </c>
      <c r="P28" s="198">
        <f t="shared" si="27"/>
        <v>339645.833333333</v>
      </c>
      <c r="Q28" s="198">
        <f t="shared" si="27"/>
        <v>339645.833333333</v>
      </c>
      <c r="R28" s="198">
        <f t="shared" si="27"/>
        <v>339645.833333333</v>
      </c>
      <c r="S28" s="198">
        <f t="shared" si="27"/>
        <v>339645.833333333</v>
      </c>
      <c r="T28" s="198">
        <f t="shared" si="27"/>
        <v>339645.833333333</v>
      </c>
      <c r="U28" s="198">
        <f t="shared" si="27"/>
        <v>339645.833333333</v>
      </c>
      <c r="V28" s="198">
        <f t="shared" si="27"/>
        <v>339645.833333333</v>
      </c>
      <c r="W28" s="198"/>
      <c r="X28" s="170"/>
      <c r="Y28" s="170"/>
    </row>
    <row r="29" spans="1:25">
      <c r="A29" s="171"/>
      <c r="B29" s="172"/>
      <c r="C29" s="173"/>
      <c r="D29" s="174"/>
      <c r="E29" s="175"/>
      <c r="F29" s="176"/>
      <c r="G29" s="176"/>
      <c r="H29" s="177"/>
      <c r="I29" s="178"/>
      <c r="J29" s="210">
        <f t="shared" si="17"/>
        <v>0</v>
      </c>
      <c r="K29" s="210">
        <f t="shared" ref="K29:K34" si="28">I29</f>
        <v>0</v>
      </c>
      <c r="L29" s="210">
        <f t="shared" ref="L29:L34" si="29">I29</f>
        <v>0</v>
      </c>
      <c r="M29" s="180"/>
      <c r="N29" s="180"/>
      <c r="O29" s="180"/>
      <c r="P29" s="180"/>
      <c r="Q29" s="180"/>
      <c r="R29" s="180"/>
      <c r="S29" s="168"/>
      <c r="T29" s="217"/>
      <c r="U29" s="210"/>
      <c r="V29" s="210"/>
      <c r="W29" s="212"/>
      <c r="X29" s="170"/>
      <c r="Y29" s="170"/>
    </row>
    <row r="30" spans="1:25">
      <c r="A30" s="171"/>
      <c r="B30" s="182" t="s">
        <v>993</v>
      </c>
      <c r="C30" s="173"/>
      <c r="D30" s="174"/>
      <c r="E30" s="175"/>
      <c r="F30" s="176"/>
      <c r="G30" s="176"/>
      <c r="H30" s="177"/>
      <c r="I30" s="178"/>
      <c r="J30" s="210">
        <f t="shared" si="17"/>
        <v>0</v>
      </c>
      <c r="K30" s="210">
        <f t="shared" si="28"/>
        <v>0</v>
      </c>
      <c r="L30" s="210">
        <f t="shared" si="29"/>
        <v>0</v>
      </c>
      <c r="M30" s="180"/>
      <c r="N30" s="180"/>
      <c r="O30" s="180"/>
      <c r="P30" s="180"/>
      <c r="Q30" s="180"/>
      <c r="R30" s="180"/>
      <c r="S30" s="168"/>
      <c r="T30" s="217"/>
      <c r="U30" s="210"/>
      <c r="V30" s="210"/>
      <c r="W30" s="212"/>
      <c r="X30" s="170"/>
      <c r="Y30" s="170"/>
    </row>
    <row r="31" spans="1:25">
      <c r="A31" s="171"/>
      <c r="B31" s="172"/>
      <c r="C31" s="173"/>
      <c r="D31" s="174"/>
      <c r="E31" s="175"/>
      <c r="F31" s="176"/>
      <c r="G31" s="176"/>
      <c r="H31" s="177"/>
      <c r="I31" s="178"/>
      <c r="J31" s="210">
        <f t="shared" si="17"/>
        <v>0</v>
      </c>
      <c r="K31" s="210">
        <f t="shared" si="28"/>
        <v>0</v>
      </c>
      <c r="L31" s="210">
        <f t="shared" si="29"/>
        <v>0</v>
      </c>
      <c r="M31" s="180"/>
      <c r="N31" s="180"/>
      <c r="O31" s="180"/>
      <c r="P31" s="180"/>
      <c r="Q31" s="180"/>
      <c r="R31" s="180"/>
      <c r="S31" s="168"/>
      <c r="T31" s="217"/>
      <c r="U31" s="210"/>
      <c r="V31" s="210"/>
      <c r="W31" s="212"/>
      <c r="X31" s="170"/>
      <c r="Y31" s="170"/>
    </row>
    <row r="32" spans="1:25">
      <c r="A32" s="171"/>
      <c r="B32" s="172"/>
      <c r="C32" s="173"/>
      <c r="D32" s="174"/>
      <c r="E32" s="175"/>
      <c r="F32" s="176"/>
      <c r="G32" s="176"/>
      <c r="H32" s="177"/>
      <c r="I32" s="178"/>
      <c r="J32" s="210">
        <f t="shared" si="17"/>
        <v>0</v>
      </c>
      <c r="K32" s="210">
        <f t="shared" si="28"/>
        <v>0</v>
      </c>
      <c r="L32" s="210">
        <f t="shared" si="29"/>
        <v>0</v>
      </c>
      <c r="M32" s="180"/>
      <c r="N32" s="180"/>
      <c r="O32" s="180"/>
      <c r="P32" s="180"/>
      <c r="Q32" s="180"/>
      <c r="R32" s="180"/>
      <c r="S32" s="168"/>
      <c r="T32" s="217"/>
      <c r="U32" s="210"/>
      <c r="V32" s="210"/>
      <c r="W32" s="212"/>
      <c r="X32" s="170"/>
      <c r="Y32" s="170"/>
    </row>
    <row r="33" spans="1:1024 1025:16383">
      <c r="A33" s="171"/>
      <c r="B33" s="182" t="s">
        <v>994</v>
      </c>
      <c r="C33" s="173"/>
      <c r="D33" s="174"/>
      <c r="E33" s="175"/>
      <c r="F33" s="176"/>
      <c r="G33" s="176"/>
      <c r="H33" s="177">
        <v>120</v>
      </c>
      <c r="I33" s="178"/>
      <c r="J33" s="210">
        <f t="shared" si="17"/>
        <v>0</v>
      </c>
      <c r="K33" s="210">
        <f t="shared" si="28"/>
        <v>0</v>
      </c>
      <c r="L33" s="210">
        <f t="shared" si="29"/>
        <v>0</v>
      </c>
      <c r="M33" s="180"/>
      <c r="N33" s="180"/>
      <c r="O33" s="180"/>
      <c r="P33" s="180"/>
      <c r="Q33" s="180"/>
      <c r="R33" s="180"/>
      <c r="S33" s="168"/>
      <c r="T33" s="217"/>
      <c r="U33" s="210"/>
      <c r="V33" s="210"/>
      <c r="W33" s="212"/>
      <c r="X33" s="170"/>
      <c r="Y33" s="170"/>
    </row>
    <row r="34" s="139" customFormat="1" spans="1:1024 1025:16383">
      <c r="A34" s="218">
        <v>1</v>
      </c>
      <c r="B34" s="219" t="s">
        <v>995</v>
      </c>
      <c r="C34" s="220">
        <v>45051</v>
      </c>
      <c r="D34" s="221" t="s">
        <v>983</v>
      </c>
      <c r="E34" s="222">
        <v>1</v>
      </c>
      <c r="F34" s="210">
        <v>19780000</v>
      </c>
      <c r="G34" s="223">
        <f>F34*E34</f>
        <v>19780000</v>
      </c>
      <c r="H34" s="209">
        <v>120</v>
      </c>
      <c r="I34" s="224">
        <f t="shared" ref="I34:I55" si="30">G34/H34</f>
        <v>164833.333333333</v>
      </c>
      <c r="J34" s="210">
        <f>20*I34</f>
        <v>3296666.66666667</v>
      </c>
      <c r="K34" s="210">
        <f t="shared" si="28"/>
        <v>164833.333333333</v>
      </c>
      <c r="L34" s="210">
        <f t="shared" si="29"/>
        <v>164833.333333333</v>
      </c>
      <c r="M34" s="180">
        <f>I34</f>
        <v>164833.333333333</v>
      </c>
      <c r="N34" s="210">
        <f>SUM(I34)</f>
        <v>164833.333333333</v>
      </c>
      <c r="O34" s="180">
        <f>SUM(I34)</f>
        <v>164833.333333333</v>
      </c>
      <c r="P34" s="180">
        <f>SUM(I34)</f>
        <v>164833.333333333</v>
      </c>
      <c r="Q34" s="180">
        <f>SUM(I34)</f>
        <v>164833.333333333</v>
      </c>
      <c r="R34" s="180">
        <f>SUM(I34)</f>
        <v>164833.333333333</v>
      </c>
      <c r="S34" s="225">
        <f>SUM(I34)</f>
        <v>164833.333333333</v>
      </c>
      <c r="T34" s="210">
        <f>SUM(I34)</f>
        <v>164833.333333333</v>
      </c>
      <c r="U34" s="210">
        <f>SUM(I34)</f>
        <v>164833.333333333</v>
      </c>
      <c r="V34" s="210">
        <f>SUM(I34)</f>
        <v>164833.333333333</v>
      </c>
      <c r="W34" s="212">
        <f>SUM(K34:V34)</f>
        <v>1978000</v>
      </c>
      <c r="X34" s="226">
        <f>H34-32</f>
        <v>88</v>
      </c>
      <c r="Y34" s="227"/>
      <c r="Z34" s="228"/>
      <c r="AA34" s="228"/>
      <c r="AB34" s="228"/>
      <c r="AC34" s="228"/>
      <c r="AD34" s="228"/>
      <c r="AE34" s="228"/>
      <c r="AF34" s="228"/>
      <c r="AG34" s="228"/>
      <c r="AH34" s="228"/>
      <c r="AI34" s="228"/>
      <c r="AJ34" s="228"/>
      <c r="AK34" s="228"/>
      <c r="AL34" s="228"/>
      <c r="AM34" s="228"/>
      <c r="AN34" s="228"/>
      <c r="AO34" s="228"/>
      <c r="AP34" s="228"/>
      <c r="AQ34" s="228"/>
      <c r="AR34" s="228"/>
      <c r="AS34" s="228"/>
      <c r="AT34" s="228"/>
      <c r="AU34" s="228"/>
      <c r="AV34" s="228"/>
      <c r="AW34" s="228"/>
      <c r="AX34" s="228"/>
      <c r="AY34" s="228"/>
      <c r="AZ34" s="228"/>
      <c r="BA34" s="228"/>
      <c r="BB34" s="228"/>
      <c r="BC34" s="228"/>
      <c r="BD34" s="228"/>
      <c r="BE34" s="228"/>
      <c r="BF34" s="228"/>
      <c r="BG34" s="228"/>
      <c r="BH34" s="228"/>
      <c r="BI34" s="228"/>
      <c r="BJ34" s="228"/>
      <c r="BK34" s="228"/>
      <c r="BL34" s="228"/>
      <c r="BM34" s="228"/>
      <c r="BN34" s="228"/>
      <c r="BO34" s="228"/>
      <c r="BP34" s="228"/>
      <c r="BQ34" s="228"/>
      <c r="BR34" s="228"/>
      <c r="BS34" s="228"/>
      <c r="BT34" s="228"/>
      <c r="BU34" s="228"/>
      <c r="BV34" s="228"/>
      <c r="BW34" s="228"/>
      <c r="BX34" s="228"/>
      <c r="BY34" s="228"/>
      <c r="BZ34" s="228"/>
      <c r="CA34" s="228"/>
      <c r="CB34" s="228"/>
      <c r="CC34" s="228"/>
      <c r="CD34" s="228"/>
      <c r="CE34" s="228"/>
      <c r="CF34" s="228"/>
      <c r="CG34" s="228"/>
      <c r="CH34" s="228"/>
      <c r="CI34" s="228"/>
      <c r="CJ34" s="228"/>
      <c r="CK34" s="228"/>
      <c r="CL34" s="228"/>
      <c r="CM34" s="228"/>
      <c r="CN34" s="228"/>
      <c r="CO34" s="228"/>
      <c r="CP34" s="228"/>
      <c r="CQ34" s="228"/>
      <c r="CR34" s="228"/>
      <c r="CS34" s="228"/>
      <c r="CT34" s="228"/>
      <c r="CU34" s="228"/>
      <c r="CV34" s="228"/>
      <c r="CW34" s="228"/>
      <c r="CX34" s="228"/>
      <c r="CY34" s="228"/>
      <c r="CZ34" s="228"/>
      <c r="DA34" s="228"/>
      <c r="DB34" s="228"/>
      <c r="DC34" s="228"/>
      <c r="DD34" s="228"/>
      <c r="DE34" s="228"/>
      <c r="DF34" s="228"/>
      <c r="DG34" s="228"/>
      <c r="DH34" s="228"/>
      <c r="DI34" s="228"/>
      <c r="DJ34" s="228"/>
      <c r="DK34" s="228"/>
      <c r="DL34" s="228"/>
      <c r="DM34" s="228"/>
      <c r="DN34" s="228"/>
      <c r="DO34" s="228"/>
      <c r="DP34" s="228"/>
      <c r="DQ34" s="228"/>
      <c r="DR34" s="228"/>
      <c r="DS34" s="228"/>
      <c r="DT34" s="228"/>
      <c r="DU34" s="228"/>
      <c r="DV34" s="228"/>
      <c r="DW34" s="228"/>
      <c r="DX34" s="228"/>
      <c r="DY34" s="228"/>
      <c r="DZ34" s="228"/>
      <c r="EA34" s="228"/>
      <c r="EB34" s="228"/>
      <c r="EC34" s="228"/>
      <c r="ED34" s="228"/>
      <c r="EE34" s="228"/>
      <c r="EF34" s="228"/>
      <c r="EG34" s="228"/>
      <c r="EH34" s="228"/>
      <c r="EI34" s="228"/>
      <c r="EJ34" s="228"/>
      <c r="EK34" s="228"/>
      <c r="EL34" s="228"/>
      <c r="EM34" s="228"/>
      <c r="EN34" s="228"/>
      <c r="EO34" s="228"/>
      <c r="EP34" s="228"/>
      <c r="EQ34" s="228"/>
      <c r="ER34" s="228"/>
      <c r="ES34" s="228"/>
      <c r="ET34" s="228"/>
      <c r="EU34" s="228"/>
      <c r="EV34" s="228"/>
      <c r="EW34" s="228"/>
      <c r="EX34" s="228"/>
      <c r="EY34" s="228"/>
      <c r="EZ34" s="228"/>
      <c r="FA34" s="228"/>
      <c r="FB34" s="228"/>
      <c r="FC34" s="228"/>
      <c r="FD34" s="228"/>
      <c r="FE34" s="228"/>
      <c r="FF34" s="228"/>
      <c r="FG34" s="228"/>
      <c r="FH34" s="228"/>
      <c r="FI34" s="228"/>
      <c r="FJ34" s="228"/>
      <c r="FK34" s="228"/>
      <c r="FL34" s="228"/>
      <c r="FM34" s="228"/>
      <c r="FN34" s="228"/>
      <c r="FO34" s="228"/>
      <c r="FP34" s="228"/>
      <c r="FQ34" s="228"/>
      <c r="FR34" s="228"/>
      <c r="FS34" s="228"/>
      <c r="FT34" s="228"/>
      <c r="FU34" s="228"/>
      <c r="FV34" s="228"/>
      <c r="FW34" s="228"/>
      <c r="FX34" s="228"/>
      <c r="FY34" s="228"/>
      <c r="FZ34" s="228"/>
      <c r="GA34" s="228"/>
      <c r="GB34" s="228"/>
      <c r="GC34" s="228"/>
      <c r="GD34" s="228"/>
      <c r="GE34" s="228"/>
      <c r="GF34" s="228"/>
      <c r="GG34" s="228"/>
      <c r="GH34" s="228"/>
      <c r="GI34" s="228"/>
      <c r="GJ34" s="228"/>
      <c r="GK34" s="228"/>
      <c r="GL34" s="228"/>
      <c r="GM34" s="228"/>
      <c r="GN34" s="228"/>
      <c r="GO34" s="228"/>
      <c r="GP34" s="228"/>
      <c r="GQ34" s="228"/>
      <c r="GR34" s="228"/>
      <c r="GS34" s="228"/>
      <c r="GT34" s="228"/>
      <c r="GU34" s="228"/>
      <c r="GV34" s="228"/>
      <c r="GW34" s="228"/>
      <c r="GX34" s="228"/>
      <c r="GY34" s="228"/>
      <c r="GZ34" s="228"/>
      <c r="HA34" s="228"/>
      <c r="HB34" s="228"/>
      <c r="HC34" s="228"/>
      <c r="HD34" s="228"/>
      <c r="HE34" s="228"/>
      <c r="HF34" s="228"/>
      <c r="HG34" s="228"/>
      <c r="HH34" s="228"/>
      <c r="HI34" s="228"/>
      <c r="HJ34" s="228"/>
      <c r="HK34" s="228"/>
      <c r="HL34" s="228"/>
      <c r="HM34" s="228"/>
      <c r="HN34" s="228"/>
      <c r="HO34" s="228"/>
      <c r="HP34" s="228"/>
      <c r="HQ34" s="228"/>
      <c r="HR34" s="228"/>
      <c r="HS34" s="228"/>
      <c r="HT34" s="228"/>
      <c r="HU34" s="228"/>
      <c r="HV34" s="228"/>
      <c r="HW34" s="228"/>
      <c r="HX34" s="228"/>
      <c r="HY34" s="228"/>
      <c r="HZ34" s="228"/>
      <c r="IA34" s="228"/>
      <c r="IB34" s="228"/>
      <c r="IC34" s="228"/>
      <c r="ID34" s="228"/>
      <c r="IE34" s="228"/>
      <c r="IF34" s="228"/>
      <c r="IG34" s="228"/>
      <c r="IH34" s="228"/>
      <c r="II34" s="228"/>
      <c r="IJ34" s="228"/>
      <c r="IK34" s="228"/>
      <c r="IL34" s="228"/>
      <c r="IM34" s="228"/>
      <c r="IN34" s="228"/>
      <c r="IO34" s="228"/>
      <c r="IP34" s="228"/>
      <c r="IQ34" s="228"/>
      <c r="IR34" s="228"/>
      <c r="IS34" s="228"/>
      <c r="IT34" s="228"/>
      <c r="IU34" s="228"/>
      <c r="IV34" s="228"/>
      <c r="IW34" s="228"/>
      <c r="IX34" s="228"/>
      <c r="IY34" s="228"/>
      <c r="IZ34" s="228"/>
      <c r="JA34" s="228"/>
      <c r="JB34" s="228"/>
      <c r="JC34" s="228"/>
      <c r="JD34" s="228"/>
      <c r="JE34" s="228"/>
      <c r="JF34" s="228"/>
      <c r="JG34" s="228"/>
      <c r="JH34" s="228"/>
      <c r="JI34" s="228"/>
      <c r="JJ34" s="228"/>
      <c r="JK34" s="228"/>
      <c r="JL34" s="228"/>
      <c r="JM34" s="228"/>
      <c r="JN34" s="228"/>
      <c r="JO34" s="228"/>
      <c r="JP34" s="228"/>
      <c r="JQ34" s="228"/>
      <c r="JR34" s="228"/>
      <c r="JS34" s="228"/>
      <c r="JT34" s="228"/>
      <c r="JU34" s="228"/>
      <c r="JV34" s="228"/>
      <c r="JW34" s="228"/>
      <c r="JX34" s="228"/>
      <c r="JY34" s="228"/>
      <c r="JZ34" s="228"/>
      <c r="KA34" s="228"/>
      <c r="KB34" s="228"/>
      <c r="KC34" s="228"/>
      <c r="KD34" s="228"/>
      <c r="KE34" s="228"/>
      <c r="KF34" s="228"/>
      <c r="KG34" s="228"/>
      <c r="KH34" s="228"/>
      <c r="KI34" s="228"/>
      <c r="KJ34" s="228"/>
      <c r="KK34" s="228"/>
      <c r="KL34" s="228"/>
      <c r="KM34" s="228"/>
      <c r="KN34" s="228"/>
      <c r="KO34" s="228"/>
      <c r="KP34" s="228"/>
      <c r="KQ34" s="228"/>
      <c r="KR34" s="228"/>
      <c r="KS34" s="228"/>
      <c r="KT34" s="228"/>
      <c r="KU34" s="228"/>
      <c r="KV34" s="228"/>
      <c r="KW34" s="228"/>
      <c r="KX34" s="228"/>
      <c r="KY34" s="228"/>
      <c r="KZ34" s="228"/>
      <c r="LA34" s="228"/>
      <c r="LB34" s="228"/>
      <c r="LC34" s="228"/>
      <c r="LD34" s="228"/>
      <c r="LE34" s="228"/>
      <c r="LF34" s="228"/>
      <c r="LG34" s="228"/>
      <c r="LH34" s="228"/>
      <c r="LI34" s="228"/>
      <c r="LJ34" s="228"/>
      <c r="LK34" s="228"/>
      <c r="LL34" s="228"/>
      <c r="LM34" s="228"/>
      <c r="LN34" s="228"/>
      <c r="LO34" s="228"/>
      <c r="LP34" s="228"/>
      <c r="LQ34" s="228"/>
      <c r="LR34" s="228"/>
      <c r="LS34" s="228"/>
      <c r="LT34" s="228"/>
      <c r="LU34" s="228"/>
      <c r="LV34" s="228"/>
      <c r="LW34" s="228"/>
      <c r="LX34" s="228"/>
      <c r="LY34" s="228"/>
      <c r="LZ34" s="228"/>
      <c r="MA34" s="228"/>
      <c r="MB34" s="228"/>
      <c r="MC34" s="228"/>
      <c r="MD34" s="228"/>
      <c r="ME34" s="228"/>
      <c r="MF34" s="228"/>
      <c r="MG34" s="228"/>
      <c r="MH34" s="228"/>
      <c r="MI34" s="228"/>
      <c r="MJ34" s="228"/>
      <c r="MK34" s="228"/>
      <c r="ML34" s="228"/>
      <c r="MM34" s="228"/>
      <c r="MN34" s="228"/>
      <c r="MO34" s="228"/>
      <c r="MP34" s="228"/>
      <c r="MQ34" s="228"/>
      <c r="MR34" s="228"/>
      <c r="MS34" s="228"/>
      <c r="MT34" s="228"/>
      <c r="MU34" s="228"/>
      <c r="MV34" s="228"/>
      <c r="MW34" s="228"/>
      <c r="MX34" s="228"/>
      <c r="MY34" s="228"/>
      <c r="MZ34" s="228"/>
      <c r="NA34" s="228"/>
      <c r="NB34" s="228"/>
      <c r="NC34" s="228"/>
      <c r="ND34" s="228"/>
      <c r="NE34" s="228"/>
      <c r="NF34" s="228"/>
      <c r="NG34" s="228"/>
      <c r="NH34" s="228"/>
      <c r="NI34" s="228"/>
      <c r="NJ34" s="228"/>
      <c r="NK34" s="228"/>
      <c r="NL34" s="228"/>
      <c r="NM34" s="228"/>
      <c r="NN34" s="228"/>
      <c r="NO34" s="228"/>
      <c r="NP34" s="228"/>
      <c r="NQ34" s="228"/>
      <c r="NR34" s="228"/>
      <c r="NS34" s="228"/>
      <c r="NT34" s="228"/>
      <c r="NU34" s="228"/>
      <c r="NV34" s="228"/>
      <c r="NW34" s="228"/>
      <c r="NX34" s="228"/>
      <c r="NY34" s="228"/>
      <c r="NZ34" s="228"/>
      <c r="OA34" s="228"/>
      <c r="OB34" s="228"/>
      <c r="OC34" s="228"/>
      <c r="OD34" s="228"/>
      <c r="OE34" s="228"/>
      <c r="OF34" s="228"/>
      <c r="OG34" s="228"/>
      <c r="OH34" s="228"/>
      <c r="OI34" s="228"/>
      <c r="OJ34" s="228"/>
      <c r="OK34" s="228"/>
      <c r="OL34" s="228"/>
      <c r="OM34" s="228"/>
      <c r="ON34" s="228"/>
      <c r="OO34" s="228"/>
      <c r="OP34" s="228"/>
      <c r="OQ34" s="228"/>
      <c r="OR34" s="228"/>
      <c r="OS34" s="228"/>
      <c r="OT34" s="228"/>
      <c r="OU34" s="228"/>
      <c r="OV34" s="228"/>
      <c r="OW34" s="228"/>
      <c r="OX34" s="228"/>
      <c r="OY34" s="228"/>
      <c r="OZ34" s="228"/>
      <c r="PA34" s="228"/>
      <c r="PB34" s="228"/>
      <c r="PC34" s="228"/>
      <c r="PD34" s="228"/>
      <c r="PE34" s="228"/>
      <c r="PF34" s="228"/>
      <c r="PG34" s="228"/>
      <c r="PH34" s="228"/>
      <c r="PI34" s="228"/>
      <c r="PJ34" s="228"/>
      <c r="PK34" s="228"/>
      <c r="PL34" s="228"/>
      <c r="PM34" s="228"/>
      <c r="PN34" s="228"/>
      <c r="PO34" s="228"/>
      <c r="PP34" s="228"/>
      <c r="PQ34" s="228"/>
      <c r="PR34" s="228"/>
      <c r="PS34" s="228"/>
      <c r="PT34" s="228"/>
      <c r="PU34" s="228"/>
      <c r="PV34" s="228"/>
      <c r="PW34" s="228"/>
      <c r="PX34" s="228"/>
      <c r="PY34" s="228"/>
      <c r="PZ34" s="228"/>
      <c r="QA34" s="228"/>
      <c r="QB34" s="228"/>
      <c r="QC34" s="228"/>
      <c r="QD34" s="228"/>
      <c r="QE34" s="228"/>
      <c r="QF34" s="228"/>
      <c r="QG34" s="228"/>
      <c r="QH34" s="228"/>
      <c r="QI34" s="228"/>
      <c r="QJ34" s="228"/>
      <c r="QK34" s="228"/>
      <c r="QL34" s="228"/>
      <c r="QM34" s="228"/>
      <c r="QN34" s="228"/>
      <c r="QO34" s="228"/>
      <c r="QP34" s="228"/>
      <c r="QQ34" s="228"/>
      <c r="QR34" s="228"/>
      <c r="QS34" s="228"/>
      <c r="QT34" s="228"/>
      <c r="QU34" s="228"/>
      <c r="QV34" s="228"/>
      <c r="QW34" s="228"/>
      <c r="QX34" s="228"/>
      <c r="QY34" s="228"/>
      <c r="QZ34" s="228"/>
      <c r="RA34" s="228"/>
      <c r="RB34" s="228"/>
      <c r="RC34" s="228"/>
      <c r="RD34" s="228"/>
      <c r="RE34" s="228"/>
      <c r="RF34" s="228"/>
      <c r="RG34" s="228"/>
      <c r="RH34" s="228"/>
      <c r="RI34" s="228"/>
      <c r="RJ34" s="228"/>
      <c r="RK34" s="228"/>
      <c r="RL34" s="228"/>
      <c r="RM34" s="228"/>
      <c r="RN34" s="228"/>
      <c r="RO34" s="228"/>
      <c r="RP34" s="228"/>
      <c r="RQ34" s="228"/>
      <c r="RR34" s="228"/>
      <c r="RS34" s="228"/>
      <c r="RT34" s="228"/>
      <c r="RU34" s="228"/>
      <c r="RV34" s="228"/>
      <c r="RW34" s="228"/>
      <c r="RX34" s="228"/>
      <c r="RY34" s="228"/>
      <c r="RZ34" s="228"/>
      <c r="SA34" s="228"/>
      <c r="SB34" s="228"/>
      <c r="SC34" s="228"/>
      <c r="SD34" s="228"/>
      <c r="SE34" s="228"/>
      <c r="SF34" s="228"/>
      <c r="SG34" s="228"/>
      <c r="SH34" s="228"/>
      <c r="SI34" s="228"/>
      <c r="SJ34" s="228"/>
      <c r="SK34" s="228"/>
      <c r="SL34" s="228"/>
      <c r="SM34" s="228"/>
      <c r="SN34" s="228"/>
      <c r="SO34" s="228"/>
      <c r="SP34" s="228"/>
      <c r="SQ34" s="228"/>
      <c r="SR34" s="228"/>
      <c r="SS34" s="228"/>
      <c r="ST34" s="228"/>
      <c r="SU34" s="228"/>
      <c r="SV34" s="228"/>
      <c r="SW34" s="228"/>
      <c r="SX34" s="228"/>
      <c r="SY34" s="228"/>
      <c r="SZ34" s="228"/>
      <c r="TA34" s="228"/>
      <c r="TB34" s="228"/>
      <c r="TC34" s="228"/>
      <c r="TD34" s="228"/>
      <c r="TE34" s="228"/>
      <c r="TF34" s="228"/>
      <c r="TG34" s="228"/>
      <c r="TH34" s="228"/>
      <c r="TI34" s="228"/>
      <c r="TJ34" s="228"/>
      <c r="TK34" s="228"/>
      <c r="TL34" s="228"/>
      <c r="TM34" s="228"/>
      <c r="TN34" s="228"/>
      <c r="TO34" s="228"/>
      <c r="TP34" s="228"/>
      <c r="TQ34" s="228"/>
      <c r="TR34" s="228"/>
      <c r="TS34" s="228"/>
      <c r="TT34" s="228"/>
      <c r="TU34" s="228"/>
      <c r="TV34" s="228"/>
      <c r="TW34" s="228"/>
      <c r="TX34" s="228"/>
      <c r="TY34" s="228"/>
      <c r="TZ34" s="228"/>
      <c r="UA34" s="228"/>
      <c r="UB34" s="228"/>
      <c r="UC34" s="228"/>
      <c r="UD34" s="228"/>
      <c r="UE34" s="228"/>
      <c r="UF34" s="228"/>
      <c r="UG34" s="228"/>
      <c r="UH34" s="228"/>
      <c r="UI34" s="228"/>
      <c r="UJ34" s="228"/>
      <c r="UK34" s="228"/>
      <c r="UL34" s="228"/>
      <c r="UM34" s="228"/>
      <c r="UN34" s="228"/>
      <c r="UO34" s="228"/>
      <c r="UP34" s="228"/>
      <c r="UQ34" s="228"/>
      <c r="UR34" s="228"/>
      <c r="US34" s="228"/>
      <c r="UT34" s="228"/>
      <c r="UU34" s="228"/>
      <c r="UV34" s="228"/>
      <c r="UW34" s="228"/>
      <c r="UX34" s="228"/>
      <c r="UY34" s="228"/>
      <c r="UZ34" s="228"/>
      <c r="VA34" s="228"/>
      <c r="VB34" s="228"/>
      <c r="VC34" s="228"/>
      <c r="VD34" s="228"/>
      <c r="VE34" s="228"/>
      <c r="VF34" s="228"/>
      <c r="VG34" s="228"/>
      <c r="VH34" s="228"/>
      <c r="VI34" s="228"/>
      <c r="VJ34" s="228"/>
      <c r="VK34" s="228"/>
      <c r="VL34" s="228"/>
      <c r="VM34" s="228"/>
      <c r="VN34" s="228"/>
      <c r="VO34" s="228"/>
      <c r="VP34" s="228"/>
      <c r="VQ34" s="228"/>
      <c r="VR34" s="228"/>
      <c r="VS34" s="228"/>
      <c r="VT34" s="228"/>
      <c r="VU34" s="228"/>
      <c r="VV34" s="228"/>
      <c r="VW34" s="228"/>
      <c r="VX34" s="228"/>
      <c r="VY34" s="228"/>
      <c r="VZ34" s="228"/>
      <c r="WA34" s="228"/>
      <c r="WB34" s="228"/>
      <c r="WC34" s="228"/>
      <c r="WD34" s="228"/>
      <c r="WE34" s="228"/>
      <c r="WF34" s="228"/>
      <c r="WG34" s="228"/>
      <c r="WH34" s="228"/>
      <c r="WI34" s="228"/>
      <c r="WJ34" s="228"/>
      <c r="WK34" s="228"/>
      <c r="WL34" s="228"/>
      <c r="WM34" s="228"/>
      <c r="WN34" s="228"/>
      <c r="WO34" s="228"/>
      <c r="WP34" s="228"/>
      <c r="WQ34" s="228"/>
      <c r="WR34" s="228"/>
      <c r="WS34" s="228"/>
      <c r="WT34" s="228"/>
      <c r="WU34" s="228"/>
      <c r="WV34" s="228"/>
      <c r="WW34" s="228"/>
      <c r="WX34" s="228"/>
      <c r="WY34" s="228"/>
      <c r="WZ34" s="228"/>
      <c r="XA34" s="228"/>
      <c r="XB34" s="228"/>
      <c r="XC34" s="228"/>
      <c r="XD34" s="228"/>
      <c r="XE34" s="228"/>
      <c r="XF34" s="228"/>
      <c r="XG34" s="228"/>
      <c r="XH34" s="228"/>
      <c r="XI34" s="228"/>
      <c r="XJ34" s="228"/>
      <c r="XK34" s="228"/>
      <c r="XL34" s="228"/>
      <c r="XM34" s="228"/>
      <c r="XN34" s="228"/>
      <c r="XO34" s="228"/>
      <c r="XP34" s="228"/>
      <c r="XQ34" s="228"/>
      <c r="XR34" s="228"/>
      <c r="XS34" s="228"/>
      <c r="XT34" s="228"/>
      <c r="XU34" s="228"/>
      <c r="XV34" s="228"/>
      <c r="XW34" s="228"/>
      <c r="XX34" s="228"/>
      <c r="XY34" s="228"/>
      <c r="XZ34" s="228"/>
      <c r="YA34" s="228"/>
      <c r="YB34" s="228"/>
      <c r="YC34" s="228"/>
      <c r="YD34" s="228"/>
      <c r="YE34" s="228"/>
      <c r="YF34" s="228"/>
      <c r="YG34" s="228"/>
      <c r="YH34" s="228"/>
      <c r="YI34" s="228"/>
      <c r="YJ34" s="228"/>
      <c r="YK34" s="228"/>
      <c r="YL34" s="228"/>
      <c r="YM34" s="228"/>
      <c r="YN34" s="228"/>
      <c r="YO34" s="228"/>
      <c r="YP34" s="228"/>
      <c r="YQ34" s="228"/>
      <c r="YR34" s="228"/>
      <c r="YS34" s="228"/>
      <c r="YT34" s="228"/>
      <c r="YU34" s="228"/>
      <c r="YV34" s="228"/>
      <c r="YW34" s="228"/>
      <c r="YX34" s="228"/>
      <c r="YY34" s="228"/>
      <c r="YZ34" s="228"/>
      <c r="ZA34" s="228"/>
      <c r="ZB34" s="228"/>
      <c r="ZC34" s="228"/>
      <c r="ZD34" s="228"/>
      <c r="ZE34" s="228"/>
      <c r="ZF34" s="228"/>
      <c r="ZG34" s="228"/>
      <c r="ZH34" s="228"/>
      <c r="ZI34" s="228"/>
      <c r="ZJ34" s="228"/>
      <c r="ZK34" s="228"/>
      <c r="ZL34" s="228"/>
      <c r="ZM34" s="228"/>
      <c r="ZN34" s="228"/>
      <c r="ZO34" s="228"/>
      <c r="ZP34" s="228"/>
      <c r="ZQ34" s="228"/>
      <c r="ZR34" s="228"/>
      <c r="ZS34" s="228"/>
      <c r="ZT34" s="228"/>
      <c r="ZU34" s="228"/>
      <c r="ZV34" s="228"/>
      <c r="ZW34" s="228"/>
      <c r="ZX34" s="228"/>
      <c r="ZY34" s="228"/>
      <c r="ZZ34" s="228"/>
      <c r="AAA34" s="228"/>
      <c r="AAB34" s="228"/>
      <c r="AAC34" s="228"/>
      <c r="AAD34" s="228"/>
      <c r="AAE34" s="228"/>
      <c r="AAF34" s="228"/>
      <c r="AAG34" s="228"/>
      <c r="AAH34" s="228"/>
      <c r="AAI34" s="228"/>
      <c r="AAJ34" s="228"/>
      <c r="AAK34" s="228"/>
      <c r="AAL34" s="228"/>
      <c r="AAM34" s="228"/>
      <c r="AAN34" s="228"/>
      <c r="AAO34" s="228"/>
      <c r="AAP34" s="228"/>
      <c r="AAQ34" s="228"/>
      <c r="AAR34" s="228"/>
      <c r="AAS34" s="228"/>
      <c r="AAT34" s="228"/>
      <c r="AAU34" s="228"/>
      <c r="AAV34" s="228"/>
      <c r="AAW34" s="228"/>
      <c r="AAX34" s="228"/>
      <c r="AAY34" s="228"/>
      <c r="AAZ34" s="228"/>
      <c r="ABA34" s="228"/>
      <c r="ABB34" s="228"/>
      <c r="ABC34" s="228"/>
      <c r="ABD34" s="228"/>
      <c r="ABE34" s="228"/>
      <c r="ABF34" s="228"/>
      <c r="ABG34" s="228"/>
      <c r="ABH34" s="228"/>
      <c r="ABI34" s="228"/>
      <c r="ABJ34" s="228"/>
      <c r="ABK34" s="228"/>
      <c r="ABL34" s="228"/>
      <c r="ABM34" s="228"/>
      <c r="ABN34" s="228"/>
      <c r="ABO34" s="228"/>
      <c r="ABP34" s="228"/>
      <c r="ABQ34" s="228"/>
      <c r="ABR34" s="228"/>
      <c r="ABS34" s="228"/>
      <c r="ABT34" s="228"/>
      <c r="ABU34" s="228"/>
      <c r="ABV34" s="228"/>
      <c r="ABW34" s="228"/>
      <c r="ABX34" s="228"/>
      <c r="ABY34" s="228"/>
      <c r="ABZ34" s="228"/>
      <c r="ACA34" s="228"/>
      <c r="ACB34" s="228"/>
      <c r="ACC34" s="228"/>
      <c r="ACD34" s="228"/>
      <c r="ACE34" s="228"/>
      <c r="ACF34" s="228"/>
      <c r="ACG34" s="228"/>
      <c r="ACH34" s="228"/>
      <c r="ACI34" s="228"/>
      <c r="ACJ34" s="228"/>
      <c r="ACK34" s="228"/>
      <c r="ACL34" s="228"/>
      <c r="ACM34" s="228"/>
      <c r="ACN34" s="228"/>
      <c r="ACO34" s="228"/>
      <c r="ACP34" s="228"/>
      <c r="ACQ34" s="228"/>
      <c r="ACR34" s="228"/>
      <c r="ACS34" s="228"/>
      <c r="ACT34" s="228"/>
      <c r="ACU34" s="228"/>
      <c r="ACV34" s="228"/>
      <c r="ACW34" s="228"/>
      <c r="ACX34" s="228"/>
      <c r="ACY34" s="228"/>
      <c r="ACZ34" s="228"/>
      <c r="ADA34" s="228"/>
      <c r="ADB34" s="228"/>
      <c r="ADC34" s="228"/>
      <c r="ADD34" s="228"/>
      <c r="ADE34" s="228"/>
      <c r="ADF34" s="228"/>
      <c r="ADG34" s="228"/>
      <c r="ADH34" s="228"/>
      <c r="ADI34" s="228"/>
      <c r="ADJ34" s="228"/>
      <c r="ADK34" s="228"/>
      <c r="ADL34" s="228"/>
      <c r="ADM34" s="228"/>
      <c r="ADN34" s="228"/>
      <c r="ADO34" s="228"/>
      <c r="ADP34" s="228"/>
      <c r="ADQ34" s="228"/>
      <c r="ADR34" s="228"/>
      <c r="ADS34" s="228"/>
      <c r="ADT34" s="228"/>
      <c r="ADU34" s="228"/>
      <c r="ADV34" s="228"/>
      <c r="ADW34" s="228"/>
      <c r="ADX34" s="228"/>
      <c r="ADY34" s="228"/>
      <c r="ADZ34" s="228"/>
      <c r="AEA34" s="228"/>
      <c r="AEB34" s="228"/>
      <c r="AEC34" s="228"/>
      <c r="AED34" s="228"/>
      <c r="AEE34" s="228"/>
      <c r="AEF34" s="228"/>
      <c r="AEG34" s="228"/>
      <c r="AEH34" s="228"/>
      <c r="AEI34" s="228"/>
      <c r="AEJ34" s="228"/>
      <c r="AEK34" s="228"/>
      <c r="AEL34" s="228"/>
      <c r="AEM34" s="228"/>
      <c r="AEN34" s="228"/>
      <c r="AEO34" s="228"/>
      <c r="AEP34" s="228"/>
      <c r="AEQ34" s="228"/>
      <c r="AER34" s="228"/>
      <c r="AES34" s="228"/>
      <c r="AET34" s="228"/>
      <c r="AEU34" s="228"/>
      <c r="AEV34" s="228"/>
      <c r="AEW34" s="228"/>
      <c r="AEX34" s="228"/>
      <c r="AEY34" s="228"/>
      <c r="AEZ34" s="228"/>
      <c r="AFA34" s="228"/>
      <c r="AFB34" s="228"/>
      <c r="AFC34" s="228"/>
      <c r="AFD34" s="228"/>
      <c r="AFE34" s="228"/>
      <c r="AFF34" s="228"/>
      <c r="AFG34" s="228"/>
      <c r="AFH34" s="228"/>
      <c r="AFI34" s="228"/>
      <c r="AFJ34" s="228"/>
      <c r="AFK34" s="228"/>
      <c r="AFL34" s="228"/>
      <c r="AFM34" s="228"/>
      <c r="AFN34" s="228"/>
      <c r="AFO34" s="228"/>
      <c r="AFP34" s="228"/>
      <c r="AFQ34" s="228"/>
      <c r="AFR34" s="228"/>
      <c r="AFS34" s="228"/>
      <c r="AFT34" s="228"/>
      <c r="AFU34" s="228"/>
      <c r="AFV34" s="228"/>
      <c r="AFW34" s="228"/>
      <c r="AFX34" s="228"/>
      <c r="AFY34" s="228"/>
      <c r="AFZ34" s="228"/>
      <c r="AGA34" s="228"/>
      <c r="AGB34" s="228"/>
      <c r="AGC34" s="228"/>
      <c r="AGD34" s="228"/>
      <c r="AGE34" s="228"/>
      <c r="AGF34" s="228"/>
      <c r="AGG34" s="228"/>
      <c r="AGH34" s="228"/>
      <c r="AGI34" s="228"/>
      <c r="AGJ34" s="228"/>
      <c r="AGK34" s="228"/>
      <c r="AGL34" s="228"/>
      <c r="AGM34" s="228"/>
      <c r="AGN34" s="228"/>
      <c r="AGO34" s="228"/>
      <c r="AGP34" s="228"/>
      <c r="AGQ34" s="228"/>
      <c r="AGR34" s="228"/>
      <c r="AGS34" s="228"/>
      <c r="AGT34" s="228"/>
      <c r="AGU34" s="228"/>
      <c r="AGV34" s="228"/>
      <c r="AGW34" s="228"/>
      <c r="AGX34" s="228"/>
      <c r="AGY34" s="228"/>
      <c r="AGZ34" s="228"/>
      <c r="AHA34" s="228"/>
      <c r="AHB34" s="228"/>
      <c r="AHC34" s="228"/>
      <c r="AHD34" s="228"/>
      <c r="AHE34" s="228"/>
      <c r="AHF34" s="228"/>
      <c r="AHG34" s="228"/>
      <c r="AHH34" s="228"/>
      <c r="AHI34" s="228"/>
      <c r="AHJ34" s="228"/>
      <c r="AHK34" s="228"/>
      <c r="AHL34" s="228"/>
      <c r="AHM34" s="228"/>
      <c r="AHN34" s="228"/>
      <c r="AHO34" s="228"/>
      <c r="AHP34" s="228"/>
      <c r="AHQ34" s="228"/>
      <c r="AHR34" s="228"/>
      <c r="AHS34" s="228"/>
      <c r="AHT34" s="228"/>
      <c r="AHU34" s="228"/>
      <c r="AHV34" s="228"/>
      <c r="AHW34" s="228"/>
      <c r="AHX34" s="228"/>
      <c r="AHY34" s="228"/>
      <c r="AHZ34" s="228"/>
      <c r="AIA34" s="228"/>
      <c r="AIB34" s="228"/>
      <c r="AIC34" s="228"/>
      <c r="AID34" s="228"/>
      <c r="AIE34" s="228"/>
      <c r="AIF34" s="228"/>
      <c r="AIG34" s="228"/>
      <c r="AIH34" s="228"/>
      <c r="AII34" s="228"/>
      <c r="AIJ34" s="228"/>
      <c r="AIK34" s="228"/>
      <c r="AIL34" s="228"/>
      <c r="AIM34" s="228"/>
      <c r="AIN34" s="228"/>
      <c r="AIO34" s="228"/>
      <c r="AIP34" s="228"/>
      <c r="AIQ34" s="228"/>
      <c r="AIR34" s="228"/>
      <c r="AIS34" s="228"/>
      <c r="AIT34" s="228"/>
      <c r="AIU34" s="228"/>
      <c r="AIV34" s="228"/>
      <c r="AIW34" s="228"/>
      <c r="AIX34" s="228"/>
      <c r="AIY34" s="228"/>
      <c r="AIZ34" s="228"/>
      <c r="AJA34" s="228"/>
      <c r="AJB34" s="228"/>
      <c r="AJC34" s="228"/>
      <c r="AJD34" s="228"/>
      <c r="AJE34" s="228"/>
      <c r="AJF34" s="228"/>
      <c r="AJG34" s="228"/>
      <c r="AJH34" s="228"/>
      <c r="AJI34" s="228"/>
      <c r="AJJ34" s="228"/>
      <c r="AJK34" s="228"/>
      <c r="AJL34" s="228"/>
      <c r="AJM34" s="228"/>
      <c r="AJN34" s="228"/>
      <c r="AJO34" s="228"/>
      <c r="AJP34" s="228"/>
      <c r="AJQ34" s="228"/>
      <c r="AJR34" s="228"/>
      <c r="AJS34" s="228"/>
      <c r="AJT34" s="228"/>
      <c r="AJU34" s="228"/>
      <c r="AJV34" s="228"/>
      <c r="AJW34" s="228"/>
      <c r="AJX34" s="228"/>
      <c r="AJY34" s="228"/>
      <c r="AJZ34" s="228"/>
      <c r="AKA34" s="228"/>
      <c r="AKB34" s="228"/>
      <c r="AKC34" s="228"/>
      <c r="AKD34" s="228"/>
      <c r="AKE34" s="228"/>
      <c r="AKF34" s="228"/>
      <c r="AKG34" s="228"/>
      <c r="AKH34" s="228"/>
      <c r="AKI34" s="228"/>
      <c r="AKJ34" s="228"/>
      <c r="AKK34" s="228"/>
      <c r="AKL34" s="228"/>
      <c r="AKM34" s="228"/>
      <c r="AKN34" s="228"/>
      <c r="AKO34" s="228"/>
      <c r="AKP34" s="228"/>
      <c r="AKQ34" s="228"/>
      <c r="AKR34" s="228"/>
      <c r="AKS34" s="228"/>
      <c r="AKT34" s="228"/>
      <c r="AKU34" s="228"/>
      <c r="AKV34" s="228"/>
      <c r="AKW34" s="228"/>
      <c r="AKX34" s="228"/>
      <c r="AKY34" s="228"/>
      <c r="AKZ34" s="228"/>
      <c r="ALA34" s="228"/>
      <c r="ALB34" s="228"/>
      <c r="ALC34" s="228"/>
      <c r="ALD34" s="228"/>
      <c r="ALE34" s="228"/>
      <c r="ALF34" s="228"/>
      <c r="ALG34" s="228"/>
      <c r="ALH34" s="228"/>
      <c r="ALI34" s="228"/>
      <c r="ALJ34" s="228"/>
      <c r="ALK34" s="228"/>
      <c r="ALL34" s="228"/>
      <c r="ALM34" s="228"/>
      <c r="ALN34" s="228"/>
      <c r="ALO34" s="228"/>
      <c r="ALP34" s="228"/>
      <c r="ALQ34" s="228"/>
      <c r="ALR34" s="228"/>
      <c r="ALS34" s="228"/>
      <c r="ALT34" s="228"/>
      <c r="ALU34" s="228"/>
      <c r="ALV34" s="228"/>
      <c r="ALW34" s="228"/>
      <c r="ALX34" s="228"/>
      <c r="ALY34" s="228"/>
      <c r="ALZ34" s="228"/>
      <c r="AMA34" s="228"/>
      <c r="AMB34" s="228"/>
      <c r="AMC34" s="228"/>
      <c r="AMD34" s="228"/>
      <c r="AME34" s="228"/>
      <c r="AMF34" s="228"/>
      <c r="AMG34" s="228"/>
      <c r="AMH34" s="228"/>
      <c r="AMI34" s="228"/>
      <c r="AMJ34" s="228"/>
      <c r="AMK34" s="228"/>
      <c r="AML34" s="228"/>
      <c r="AMM34" s="228"/>
      <c r="AMN34" s="228"/>
      <c r="AMO34" s="228"/>
      <c r="AMP34" s="228"/>
      <c r="AMQ34" s="228"/>
      <c r="AMR34" s="228"/>
      <c r="AMS34" s="228"/>
      <c r="AMT34" s="228"/>
      <c r="AMU34" s="228"/>
      <c r="AMV34" s="228"/>
      <c r="AMW34" s="228"/>
      <c r="AMX34" s="228"/>
      <c r="AMY34" s="228"/>
      <c r="AMZ34" s="228"/>
      <c r="ANA34" s="228"/>
      <c r="ANB34" s="228"/>
      <c r="ANC34" s="228"/>
      <c r="AND34" s="228"/>
      <c r="ANE34" s="228"/>
      <c r="ANF34" s="228"/>
      <c r="ANG34" s="228"/>
      <c r="ANH34" s="228"/>
      <c r="ANI34" s="228"/>
      <c r="ANJ34" s="228"/>
      <c r="ANK34" s="228"/>
      <c r="ANL34" s="228"/>
      <c r="ANM34" s="228"/>
      <c r="ANN34" s="228"/>
      <c r="ANO34" s="228"/>
      <c r="ANP34" s="228"/>
      <c r="ANQ34" s="228"/>
      <c r="ANR34" s="228"/>
      <c r="ANS34" s="228"/>
      <c r="ANT34" s="228"/>
      <c r="ANU34" s="228"/>
      <c r="ANV34" s="228"/>
      <c r="ANW34" s="228"/>
      <c r="ANX34" s="228"/>
      <c r="ANY34" s="228"/>
      <c r="ANZ34" s="228"/>
      <c r="AOA34" s="228"/>
      <c r="AOB34" s="228"/>
      <c r="AOC34" s="228"/>
      <c r="AOD34" s="228"/>
      <c r="AOE34" s="228"/>
      <c r="AOF34" s="228"/>
      <c r="AOG34" s="228"/>
      <c r="AOH34" s="228"/>
      <c r="AOI34" s="228"/>
      <c r="AOJ34" s="228"/>
      <c r="AOK34" s="228"/>
      <c r="AOL34" s="228"/>
      <c r="AOM34" s="228"/>
      <c r="AON34" s="228"/>
      <c r="AOO34" s="228"/>
      <c r="AOP34" s="228"/>
      <c r="AOQ34" s="228"/>
      <c r="AOR34" s="228"/>
      <c r="AOS34" s="228"/>
      <c r="AOT34" s="228"/>
      <c r="AOU34" s="228"/>
      <c r="AOV34" s="228"/>
      <c r="AOW34" s="228"/>
      <c r="AOX34" s="228"/>
      <c r="AOY34" s="228"/>
      <c r="AOZ34" s="228"/>
      <c r="APA34" s="228"/>
      <c r="APB34" s="228"/>
      <c r="APC34" s="228"/>
      <c r="APD34" s="228"/>
      <c r="APE34" s="228"/>
      <c r="APF34" s="228"/>
      <c r="APG34" s="228"/>
      <c r="APH34" s="228"/>
      <c r="API34" s="228"/>
      <c r="APJ34" s="228"/>
      <c r="APK34" s="228"/>
      <c r="APL34" s="228"/>
      <c r="APM34" s="228"/>
      <c r="APN34" s="228"/>
      <c r="APO34" s="228"/>
      <c r="APP34" s="228"/>
      <c r="APQ34" s="228"/>
      <c r="APR34" s="228"/>
      <c r="APS34" s="228"/>
      <c r="APT34" s="228"/>
      <c r="APU34" s="228"/>
      <c r="APV34" s="228"/>
      <c r="APW34" s="228"/>
      <c r="APX34" s="228"/>
      <c r="APY34" s="228"/>
      <c r="APZ34" s="228"/>
      <c r="AQA34" s="228"/>
      <c r="AQB34" s="228"/>
      <c r="AQC34" s="228"/>
      <c r="AQD34" s="228"/>
      <c r="AQE34" s="228"/>
      <c r="AQF34" s="228"/>
      <c r="AQG34" s="228"/>
      <c r="AQH34" s="228"/>
      <c r="AQI34" s="228"/>
      <c r="AQJ34" s="228"/>
      <c r="AQK34" s="228"/>
      <c r="AQL34" s="228"/>
      <c r="AQM34" s="228"/>
      <c r="AQN34" s="228"/>
      <c r="AQO34" s="228"/>
      <c r="AQP34" s="228"/>
      <c r="AQQ34" s="228"/>
      <c r="AQR34" s="228"/>
      <c r="AQS34" s="228"/>
      <c r="AQT34" s="228"/>
      <c r="AQU34" s="228"/>
      <c r="AQV34" s="228"/>
      <c r="AQW34" s="228"/>
      <c r="AQX34" s="228"/>
      <c r="AQY34" s="228"/>
      <c r="AQZ34" s="228"/>
      <c r="ARA34" s="228"/>
      <c r="ARB34" s="228"/>
      <c r="ARC34" s="228"/>
      <c r="ARD34" s="228"/>
      <c r="ARE34" s="228"/>
      <c r="ARF34" s="228"/>
      <c r="ARG34" s="228"/>
      <c r="ARH34" s="228"/>
      <c r="ARI34" s="228"/>
      <c r="ARJ34" s="228"/>
      <c r="ARK34" s="228"/>
      <c r="ARL34" s="228"/>
      <c r="ARM34" s="228"/>
      <c r="ARN34" s="228"/>
      <c r="ARO34" s="228"/>
      <c r="ARP34" s="228"/>
      <c r="ARQ34" s="228"/>
      <c r="ARR34" s="228"/>
      <c r="ARS34" s="228"/>
      <c r="ART34" s="228"/>
      <c r="ARU34" s="228"/>
      <c r="ARV34" s="228"/>
      <c r="ARW34" s="228"/>
      <c r="ARX34" s="228"/>
      <c r="ARY34" s="228"/>
      <c r="ARZ34" s="228"/>
      <c r="ASA34" s="228"/>
      <c r="ASB34" s="228"/>
      <c r="ASC34" s="228"/>
      <c r="ASD34" s="228"/>
      <c r="ASE34" s="228"/>
      <c r="ASF34" s="228"/>
      <c r="ASG34" s="228"/>
      <c r="ASH34" s="228"/>
      <c r="ASI34" s="228"/>
      <c r="ASJ34" s="228"/>
      <c r="ASK34" s="228"/>
      <c r="ASL34" s="228"/>
      <c r="ASM34" s="228"/>
      <c r="ASN34" s="228"/>
      <c r="ASO34" s="228"/>
      <c r="ASP34" s="228"/>
      <c r="ASQ34" s="228"/>
      <c r="ASR34" s="228"/>
      <c r="ASS34" s="228"/>
      <c r="AST34" s="228"/>
      <c r="ASU34" s="228"/>
      <c r="ASV34" s="228"/>
      <c r="ASW34" s="228"/>
      <c r="ASX34" s="228"/>
      <c r="ASY34" s="228"/>
      <c r="ASZ34" s="228"/>
      <c r="ATA34" s="228"/>
      <c r="ATB34" s="228"/>
      <c r="ATC34" s="228"/>
      <c r="ATD34" s="228"/>
      <c r="ATE34" s="228"/>
      <c r="ATF34" s="228"/>
      <c r="ATG34" s="228"/>
      <c r="ATH34" s="228"/>
      <c r="ATI34" s="228"/>
      <c r="ATJ34" s="228"/>
      <c r="ATK34" s="228"/>
      <c r="ATL34" s="228"/>
      <c r="ATM34" s="228"/>
      <c r="ATN34" s="228"/>
      <c r="ATO34" s="228"/>
      <c r="ATP34" s="228"/>
      <c r="ATQ34" s="228"/>
      <c r="ATR34" s="228"/>
      <c r="ATS34" s="228"/>
      <c r="ATT34" s="228"/>
      <c r="ATU34" s="228"/>
      <c r="ATV34" s="228"/>
      <c r="ATW34" s="228"/>
      <c r="ATX34" s="228"/>
      <c r="ATY34" s="228"/>
      <c r="ATZ34" s="228"/>
      <c r="AUA34" s="228"/>
      <c r="AUB34" s="228"/>
      <c r="AUC34" s="228"/>
      <c r="AUD34" s="228"/>
      <c r="AUE34" s="228"/>
      <c r="AUF34" s="228"/>
      <c r="AUG34" s="228"/>
      <c r="AUH34" s="228"/>
      <c r="AUI34" s="228"/>
      <c r="AUJ34" s="228"/>
      <c r="AUK34" s="228"/>
      <c r="AUL34" s="228"/>
      <c r="AUM34" s="228"/>
      <c r="AUN34" s="228"/>
      <c r="AUO34" s="228"/>
      <c r="AUP34" s="228"/>
      <c r="AUQ34" s="228"/>
      <c r="AUR34" s="228"/>
      <c r="AUS34" s="228"/>
      <c r="AUT34" s="228"/>
      <c r="AUU34" s="228"/>
      <c r="AUV34" s="228"/>
      <c r="AUW34" s="228"/>
      <c r="AUX34" s="228"/>
      <c r="AUY34" s="228"/>
      <c r="AUZ34" s="228"/>
      <c r="AVA34" s="228"/>
      <c r="AVB34" s="228"/>
      <c r="AVC34" s="228"/>
      <c r="AVD34" s="228"/>
      <c r="AVE34" s="228"/>
      <c r="AVF34" s="228"/>
      <c r="AVG34" s="228"/>
      <c r="AVH34" s="228"/>
      <c r="AVI34" s="228"/>
      <c r="AVJ34" s="228"/>
      <c r="AVK34" s="228"/>
      <c r="AVL34" s="228"/>
      <c r="AVM34" s="228"/>
      <c r="AVN34" s="228"/>
      <c r="AVO34" s="228"/>
      <c r="AVP34" s="228"/>
      <c r="AVQ34" s="228"/>
      <c r="AVR34" s="228"/>
      <c r="AVS34" s="228"/>
      <c r="AVT34" s="228"/>
      <c r="AVU34" s="228"/>
      <c r="AVV34" s="228"/>
      <c r="AVW34" s="228"/>
      <c r="AVX34" s="228"/>
      <c r="AVY34" s="228"/>
      <c r="AVZ34" s="228"/>
      <c r="AWA34" s="228"/>
      <c r="AWB34" s="228"/>
      <c r="AWC34" s="228"/>
      <c r="AWD34" s="228"/>
      <c r="AWE34" s="228"/>
      <c r="AWF34" s="228"/>
      <c r="AWG34" s="228"/>
      <c r="AWH34" s="228"/>
      <c r="AWI34" s="228"/>
      <c r="AWJ34" s="228"/>
      <c r="AWK34" s="228"/>
      <c r="AWL34" s="228"/>
      <c r="AWM34" s="228"/>
      <c r="AWN34" s="228"/>
      <c r="AWO34" s="228"/>
      <c r="AWP34" s="228"/>
      <c r="AWQ34" s="228"/>
      <c r="AWR34" s="228"/>
      <c r="AWS34" s="228"/>
      <c r="AWT34" s="228"/>
      <c r="AWU34" s="228"/>
      <c r="AWV34" s="228"/>
      <c r="AWW34" s="228"/>
      <c r="AWX34" s="228"/>
      <c r="AWY34" s="228"/>
      <c r="AWZ34" s="228"/>
      <c r="AXA34" s="228"/>
      <c r="AXB34" s="228"/>
      <c r="AXC34" s="228"/>
      <c r="AXD34" s="228"/>
      <c r="AXE34" s="228"/>
      <c r="AXF34" s="228"/>
      <c r="AXG34" s="228"/>
      <c r="AXH34" s="228"/>
      <c r="AXI34" s="228"/>
      <c r="AXJ34" s="228"/>
      <c r="AXK34" s="228"/>
      <c r="AXL34" s="228"/>
      <c r="AXM34" s="228"/>
      <c r="AXN34" s="228"/>
      <c r="AXO34" s="228"/>
      <c r="AXP34" s="228"/>
      <c r="AXQ34" s="228"/>
      <c r="AXR34" s="228"/>
      <c r="AXS34" s="228"/>
      <c r="AXT34" s="228"/>
      <c r="AXU34" s="228"/>
      <c r="AXV34" s="228"/>
      <c r="AXW34" s="228"/>
      <c r="AXX34" s="228"/>
      <c r="AXY34" s="228"/>
      <c r="AXZ34" s="228"/>
      <c r="AYA34" s="228"/>
      <c r="AYB34" s="228"/>
      <c r="AYC34" s="228"/>
      <c r="AYD34" s="228"/>
      <c r="AYE34" s="228"/>
      <c r="AYF34" s="228"/>
      <c r="AYG34" s="228"/>
      <c r="AYH34" s="228"/>
      <c r="AYI34" s="228"/>
      <c r="AYJ34" s="228"/>
      <c r="AYK34" s="228"/>
      <c r="AYL34" s="228"/>
      <c r="AYM34" s="228"/>
      <c r="AYN34" s="228"/>
      <c r="AYO34" s="228"/>
      <c r="AYP34" s="228"/>
      <c r="AYQ34" s="228"/>
      <c r="AYR34" s="228"/>
      <c r="AYS34" s="228"/>
      <c r="AYT34" s="228"/>
      <c r="AYU34" s="228"/>
      <c r="AYV34" s="228"/>
      <c r="AYW34" s="228"/>
      <c r="AYX34" s="228"/>
      <c r="AYY34" s="228"/>
      <c r="AYZ34" s="228"/>
      <c r="AZA34" s="228"/>
      <c r="AZB34" s="228"/>
      <c r="AZC34" s="228"/>
      <c r="AZD34" s="228"/>
      <c r="AZE34" s="228"/>
      <c r="AZF34" s="228"/>
      <c r="AZG34" s="228"/>
      <c r="AZH34" s="228"/>
      <c r="AZI34" s="228"/>
      <c r="AZJ34" s="228"/>
      <c r="AZK34" s="228"/>
      <c r="AZL34" s="228"/>
      <c r="AZM34" s="228"/>
      <c r="AZN34" s="228"/>
      <c r="AZO34" s="228"/>
      <c r="AZP34" s="228"/>
      <c r="AZQ34" s="228"/>
      <c r="AZR34" s="228"/>
      <c r="AZS34" s="228"/>
      <c r="AZT34" s="228"/>
      <c r="AZU34" s="228"/>
      <c r="AZV34" s="228"/>
      <c r="AZW34" s="228"/>
      <c r="AZX34" s="228"/>
      <c r="AZY34" s="228"/>
      <c r="AZZ34" s="228"/>
      <c r="BAA34" s="228"/>
      <c r="BAB34" s="228"/>
      <c r="BAC34" s="228"/>
      <c r="BAD34" s="228"/>
      <c r="BAE34" s="228"/>
      <c r="BAF34" s="228"/>
      <c r="BAG34" s="228"/>
      <c r="BAH34" s="228"/>
      <c r="BAI34" s="228"/>
      <c r="BAJ34" s="228"/>
      <c r="BAK34" s="228"/>
      <c r="BAL34" s="228"/>
      <c r="BAM34" s="228"/>
      <c r="BAN34" s="228"/>
      <c r="BAO34" s="228"/>
      <c r="BAP34" s="228"/>
      <c r="BAQ34" s="228"/>
      <c r="BAR34" s="228"/>
      <c r="BAS34" s="228"/>
      <c r="BAT34" s="228"/>
      <c r="BAU34" s="228"/>
      <c r="BAV34" s="228"/>
      <c r="BAW34" s="228"/>
      <c r="BAX34" s="228"/>
      <c r="BAY34" s="228"/>
      <c r="BAZ34" s="228"/>
      <c r="BBA34" s="228"/>
      <c r="BBB34" s="228"/>
      <c r="BBC34" s="228"/>
      <c r="BBD34" s="228"/>
      <c r="BBE34" s="228"/>
      <c r="BBF34" s="228"/>
      <c r="BBG34" s="228"/>
      <c r="BBH34" s="228"/>
      <c r="BBI34" s="228"/>
      <c r="BBJ34" s="228"/>
      <c r="BBK34" s="228"/>
      <c r="BBL34" s="228"/>
      <c r="BBM34" s="228"/>
      <c r="BBN34" s="228"/>
      <c r="BBO34" s="228"/>
      <c r="BBP34" s="228"/>
      <c r="BBQ34" s="228"/>
      <c r="BBR34" s="228"/>
      <c r="BBS34" s="228"/>
      <c r="BBT34" s="228"/>
      <c r="BBU34" s="228"/>
      <c r="BBV34" s="228"/>
      <c r="BBW34" s="228"/>
      <c r="BBX34" s="228"/>
      <c r="BBY34" s="228"/>
      <c r="BBZ34" s="228"/>
      <c r="BCA34" s="228"/>
      <c r="BCB34" s="228"/>
      <c r="BCC34" s="228"/>
      <c r="BCD34" s="228"/>
      <c r="BCE34" s="228"/>
      <c r="BCF34" s="228"/>
      <c r="BCG34" s="228"/>
      <c r="BCH34" s="228"/>
      <c r="BCI34" s="228"/>
      <c r="BCJ34" s="228"/>
      <c r="BCK34" s="228"/>
      <c r="BCL34" s="228"/>
      <c r="BCM34" s="228"/>
      <c r="BCN34" s="228"/>
      <c r="BCO34" s="228"/>
      <c r="BCP34" s="228"/>
      <c r="BCQ34" s="228"/>
      <c r="BCR34" s="228"/>
      <c r="BCS34" s="228"/>
      <c r="BCT34" s="228"/>
      <c r="BCU34" s="228"/>
      <c r="BCV34" s="228"/>
      <c r="BCW34" s="228"/>
      <c r="BCX34" s="228"/>
      <c r="BCY34" s="228"/>
      <c r="BCZ34" s="228"/>
      <c r="BDA34" s="228"/>
      <c r="BDB34" s="228"/>
      <c r="BDC34" s="228"/>
      <c r="BDD34" s="228"/>
      <c r="BDE34" s="228"/>
      <c r="BDF34" s="228"/>
      <c r="BDG34" s="228"/>
      <c r="BDH34" s="228"/>
      <c r="BDI34" s="228"/>
      <c r="BDJ34" s="228"/>
      <c r="BDK34" s="228"/>
      <c r="BDL34" s="228"/>
      <c r="BDM34" s="228"/>
      <c r="BDN34" s="228"/>
      <c r="BDO34" s="228"/>
      <c r="BDP34" s="228"/>
      <c r="BDQ34" s="228"/>
      <c r="BDR34" s="228"/>
      <c r="BDS34" s="228"/>
      <c r="BDT34" s="228"/>
      <c r="BDU34" s="228"/>
      <c r="BDV34" s="228"/>
      <c r="BDW34" s="228"/>
      <c r="BDX34" s="228"/>
      <c r="BDY34" s="228"/>
      <c r="BDZ34" s="228"/>
      <c r="BEA34" s="228"/>
      <c r="BEB34" s="228"/>
      <c r="BEC34" s="228"/>
      <c r="BED34" s="228"/>
      <c r="BEE34" s="228"/>
      <c r="BEF34" s="228"/>
      <c r="BEG34" s="228"/>
      <c r="BEH34" s="228"/>
      <c r="BEI34" s="228"/>
      <c r="BEJ34" s="228"/>
      <c r="BEK34" s="228"/>
      <c r="BEL34" s="228"/>
      <c r="BEM34" s="228"/>
      <c r="BEN34" s="228"/>
      <c r="BEO34" s="228"/>
      <c r="BEP34" s="228"/>
      <c r="BEQ34" s="228"/>
      <c r="BER34" s="228"/>
      <c r="BES34" s="228"/>
      <c r="BET34" s="228"/>
      <c r="BEU34" s="228"/>
      <c r="BEV34" s="228"/>
      <c r="BEW34" s="228"/>
      <c r="BEX34" s="228"/>
      <c r="BEY34" s="228"/>
      <c r="BEZ34" s="228"/>
      <c r="BFA34" s="228"/>
      <c r="BFB34" s="228"/>
      <c r="BFC34" s="228"/>
      <c r="BFD34" s="228"/>
      <c r="BFE34" s="228"/>
      <c r="BFF34" s="228"/>
      <c r="BFG34" s="228"/>
      <c r="BFH34" s="228"/>
      <c r="BFI34" s="228"/>
      <c r="BFJ34" s="228"/>
      <c r="BFK34" s="228"/>
      <c r="BFL34" s="228"/>
      <c r="BFM34" s="228"/>
      <c r="BFN34" s="228"/>
      <c r="BFO34" s="228"/>
      <c r="BFP34" s="228"/>
      <c r="BFQ34" s="228"/>
      <c r="BFR34" s="228"/>
      <c r="BFS34" s="228"/>
      <c r="BFT34" s="228"/>
      <c r="BFU34" s="228"/>
      <c r="BFV34" s="228"/>
      <c r="BFW34" s="228"/>
      <c r="BFX34" s="228"/>
      <c r="BFY34" s="228"/>
      <c r="BFZ34" s="228"/>
      <c r="BGA34" s="228"/>
      <c r="BGB34" s="228"/>
      <c r="BGC34" s="228"/>
      <c r="BGD34" s="228"/>
      <c r="BGE34" s="228"/>
      <c r="BGF34" s="228"/>
      <c r="BGG34" s="228"/>
      <c r="BGH34" s="228"/>
      <c r="BGI34" s="228"/>
      <c r="BGJ34" s="228"/>
      <c r="BGK34" s="228"/>
      <c r="BGL34" s="228"/>
      <c r="BGM34" s="228"/>
      <c r="BGN34" s="228"/>
      <c r="BGO34" s="228"/>
      <c r="BGP34" s="228"/>
      <c r="BGQ34" s="228"/>
      <c r="BGR34" s="228"/>
      <c r="BGS34" s="228"/>
      <c r="BGT34" s="228"/>
      <c r="BGU34" s="228"/>
      <c r="BGV34" s="228"/>
      <c r="BGW34" s="228"/>
      <c r="BGX34" s="228"/>
      <c r="BGY34" s="228"/>
      <c r="BGZ34" s="228"/>
      <c r="BHA34" s="228"/>
      <c r="BHB34" s="228"/>
      <c r="BHC34" s="228"/>
      <c r="BHD34" s="228"/>
      <c r="BHE34" s="228"/>
      <c r="BHF34" s="228"/>
      <c r="BHG34" s="228"/>
      <c r="BHH34" s="228"/>
      <c r="BHI34" s="228"/>
      <c r="BHJ34" s="228"/>
      <c r="BHK34" s="228"/>
      <c r="BHL34" s="228"/>
      <c r="BHM34" s="228"/>
      <c r="BHN34" s="228"/>
      <c r="BHO34" s="228"/>
      <c r="BHP34" s="228"/>
      <c r="BHQ34" s="228"/>
      <c r="BHR34" s="228"/>
      <c r="BHS34" s="228"/>
      <c r="BHT34" s="228"/>
      <c r="BHU34" s="228"/>
      <c r="BHV34" s="228"/>
      <c r="BHW34" s="228"/>
      <c r="BHX34" s="228"/>
      <c r="BHY34" s="228"/>
      <c r="BHZ34" s="228"/>
      <c r="BIA34" s="228"/>
      <c r="BIB34" s="228"/>
      <c r="BIC34" s="228"/>
      <c r="BID34" s="228"/>
      <c r="BIE34" s="228"/>
      <c r="BIF34" s="228"/>
      <c r="BIG34" s="228"/>
      <c r="BIH34" s="228"/>
      <c r="BII34" s="228"/>
      <c r="BIJ34" s="228"/>
      <c r="BIK34" s="228"/>
      <c r="BIL34" s="228"/>
      <c r="BIM34" s="228"/>
      <c r="BIN34" s="228"/>
      <c r="BIO34" s="228"/>
      <c r="BIP34" s="228"/>
      <c r="BIQ34" s="228"/>
      <c r="BIR34" s="228"/>
      <c r="BIS34" s="228"/>
      <c r="BIT34" s="228"/>
      <c r="BIU34" s="228"/>
      <c r="BIV34" s="228"/>
      <c r="BIW34" s="228"/>
      <c r="BIX34" s="228"/>
      <c r="BIY34" s="228"/>
      <c r="BIZ34" s="228"/>
      <c r="BJA34" s="228"/>
      <c r="BJB34" s="228"/>
      <c r="BJC34" s="228"/>
      <c r="BJD34" s="228"/>
      <c r="BJE34" s="228"/>
      <c r="BJF34" s="228"/>
      <c r="BJG34" s="228"/>
      <c r="BJH34" s="228"/>
      <c r="BJI34" s="228"/>
      <c r="BJJ34" s="228"/>
      <c r="BJK34" s="228"/>
      <c r="BJL34" s="228"/>
      <c r="BJM34" s="228"/>
      <c r="BJN34" s="228"/>
      <c r="BJO34" s="228"/>
      <c r="BJP34" s="228"/>
      <c r="BJQ34" s="228"/>
      <c r="BJR34" s="228"/>
      <c r="BJS34" s="228"/>
      <c r="BJT34" s="228"/>
      <c r="BJU34" s="228"/>
      <c r="BJV34" s="228"/>
      <c r="BJW34" s="228"/>
      <c r="BJX34" s="228"/>
      <c r="BJY34" s="228"/>
      <c r="BJZ34" s="228"/>
      <c r="BKA34" s="228"/>
      <c r="BKB34" s="228"/>
      <c r="BKC34" s="228"/>
      <c r="BKD34" s="228"/>
      <c r="BKE34" s="228"/>
      <c r="BKF34" s="228"/>
      <c r="BKG34" s="228"/>
      <c r="BKH34" s="228"/>
      <c r="BKI34" s="228"/>
      <c r="BKJ34" s="228"/>
      <c r="BKK34" s="228"/>
      <c r="BKL34" s="228"/>
      <c r="BKM34" s="228"/>
      <c r="BKN34" s="228"/>
      <c r="BKO34" s="228"/>
      <c r="BKP34" s="228"/>
      <c r="BKQ34" s="228"/>
      <c r="BKR34" s="228"/>
      <c r="BKS34" s="228"/>
      <c r="BKT34" s="228"/>
      <c r="BKU34" s="228"/>
      <c r="BKV34" s="228"/>
      <c r="BKW34" s="228"/>
      <c r="BKX34" s="228"/>
      <c r="BKY34" s="228"/>
      <c r="BKZ34" s="228"/>
      <c r="BLA34" s="228"/>
      <c r="BLB34" s="228"/>
      <c r="BLC34" s="228"/>
      <c r="BLD34" s="228"/>
      <c r="BLE34" s="228"/>
      <c r="BLF34" s="228"/>
      <c r="BLG34" s="228"/>
      <c r="BLH34" s="228"/>
      <c r="BLI34" s="228"/>
      <c r="BLJ34" s="228"/>
      <c r="BLK34" s="228"/>
      <c r="BLL34" s="228"/>
      <c r="BLM34" s="228"/>
      <c r="BLN34" s="228"/>
      <c r="BLO34" s="228"/>
      <c r="BLP34" s="228"/>
      <c r="BLQ34" s="228"/>
      <c r="BLR34" s="228"/>
      <c r="BLS34" s="228"/>
      <c r="BLT34" s="228"/>
      <c r="BLU34" s="228"/>
      <c r="BLV34" s="228"/>
      <c r="BLW34" s="228"/>
      <c r="BLX34" s="228"/>
      <c r="BLY34" s="228"/>
      <c r="BLZ34" s="228"/>
      <c r="BMA34" s="228"/>
      <c r="BMB34" s="228"/>
      <c r="BMC34" s="228"/>
      <c r="BMD34" s="228"/>
      <c r="BME34" s="228"/>
      <c r="BMF34" s="228"/>
      <c r="BMG34" s="228"/>
      <c r="BMH34" s="228"/>
      <c r="BMI34" s="228"/>
      <c r="BMJ34" s="228"/>
      <c r="BMK34" s="228"/>
      <c r="BML34" s="228"/>
      <c r="BMM34" s="228"/>
      <c r="BMN34" s="228"/>
      <c r="BMO34" s="228"/>
      <c r="BMP34" s="228"/>
      <c r="BMQ34" s="228"/>
      <c r="BMR34" s="228"/>
      <c r="BMS34" s="228"/>
      <c r="BMT34" s="228"/>
      <c r="BMU34" s="228"/>
      <c r="BMV34" s="228"/>
      <c r="BMW34" s="228"/>
      <c r="BMX34" s="228"/>
      <c r="BMY34" s="228"/>
      <c r="BMZ34" s="228"/>
      <c r="BNA34" s="228"/>
      <c r="BNB34" s="228"/>
      <c r="BNC34" s="228"/>
      <c r="BND34" s="228"/>
      <c r="BNE34" s="228"/>
      <c r="BNF34" s="228"/>
      <c r="BNG34" s="228"/>
      <c r="BNH34" s="228"/>
      <c r="BNI34" s="228"/>
      <c r="BNJ34" s="228"/>
      <c r="BNK34" s="228"/>
      <c r="BNL34" s="228"/>
      <c r="BNM34" s="228"/>
      <c r="BNN34" s="228"/>
      <c r="BNO34" s="228"/>
      <c r="BNP34" s="228"/>
      <c r="BNQ34" s="228"/>
      <c r="BNR34" s="228"/>
      <c r="BNS34" s="228"/>
      <c r="BNT34" s="228"/>
      <c r="BNU34" s="228"/>
      <c r="BNV34" s="228"/>
      <c r="BNW34" s="228"/>
      <c r="BNX34" s="228"/>
      <c r="BNY34" s="228"/>
      <c r="BNZ34" s="228"/>
      <c r="BOA34" s="228"/>
      <c r="BOB34" s="228"/>
      <c r="BOC34" s="228"/>
      <c r="BOD34" s="228"/>
      <c r="BOE34" s="228"/>
      <c r="BOF34" s="228"/>
      <c r="BOG34" s="228"/>
      <c r="BOH34" s="228"/>
      <c r="BOI34" s="228"/>
      <c r="BOJ34" s="228"/>
      <c r="BOK34" s="228"/>
      <c r="BOL34" s="228"/>
      <c r="BOM34" s="228"/>
      <c r="BON34" s="228"/>
      <c r="BOO34" s="228"/>
      <c r="BOP34" s="228"/>
      <c r="BOQ34" s="228"/>
      <c r="BOR34" s="228"/>
      <c r="BOS34" s="228"/>
      <c r="BOT34" s="228"/>
      <c r="BOU34" s="228"/>
      <c r="BOV34" s="228"/>
      <c r="BOW34" s="228"/>
      <c r="BOX34" s="228"/>
      <c r="BOY34" s="228"/>
      <c r="BOZ34" s="228"/>
      <c r="BPA34" s="228"/>
      <c r="BPB34" s="228"/>
      <c r="BPC34" s="228"/>
      <c r="BPD34" s="228"/>
      <c r="BPE34" s="228"/>
      <c r="BPF34" s="228"/>
      <c r="BPG34" s="228"/>
      <c r="BPH34" s="228"/>
      <c r="BPI34" s="228"/>
      <c r="BPJ34" s="228"/>
      <c r="BPK34" s="228"/>
      <c r="BPL34" s="228"/>
      <c r="BPM34" s="228"/>
      <c r="BPN34" s="228"/>
      <c r="BPO34" s="228"/>
      <c r="BPP34" s="228"/>
      <c r="BPQ34" s="228"/>
      <c r="BPR34" s="228"/>
      <c r="BPS34" s="228"/>
      <c r="BPT34" s="228"/>
      <c r="BPU34" s="228"/>
      <c r="BPV34" s="228"/>
      <c r="BPW34" s="228"/>
      <c r="BPX34" s="228"/>
      <c r="BPY34" s="228"/>
      <c r="BPZ34" s="228"/>
      <c r="BQA34" s="228"/>
      <c r="BQB34" s="228"/>
      <c r="BQC34" s="228"/>
      <c r="BQD34" s="228"/>
      <c r="BQE34" s="228"/>
      <c r="BQF34" s="228"/>
      <c r="BQG34" s="228"/>
      <c r="BQH34" s="228"/>
      <c r="BQI34" s="228"/>
      <c r="BQJ34" s="228"/>
      <c r="BQK34" s="228"/>
      <c r="BQL34" s="228"/>
      <c r="BQM34" s="228"/>
      <c r="BQN34" s="228"/>
      <c r="BQO34" s="228"/>
      <c r="BQP34" s="228"/>
      <c r="BQQ34" s="228"/>
      <c r="BQR34" s="228"/>
      <c r="BQS34" s="228"/>
      <c r="BQT34" s="228"/>
      <c r="BQU34" s="228"/>
      <c r="BQV34" s="228"/>
      <c r="BQW34" s="228"/>
      <c r="BQX34" s="228"/>
      <c r="BQY34" s="228"/>
      <c r="BQZ34" s="228"/>
      <c r="BRA34" s="228"/>
      <c r="BRB34" s="228"/>
      <c r="BRC34" s="228"/>
      <c r="BRD34" s="228"/>
      <c r="BRE34" s="228"/>
      <c r="BRF34" s="228"/>
      <c r="BRG34" s="228"/>
      <c r="BRH34" s="228"/>
      <c r="BRI34" s="228"/>
      <c r="BRJ34" s="228"/>
      <c r="BRK34" s="228"/>
      <c r="BRL34" s="228"/>
      <c r="BRM34" s="228"/>
      <c r="BRN34" s="228"/>
      <c r="BRO34" s="228"/>
      <c r="BRP34" s="228"/>
      <c r="BRQ34" s="228"/>
      <c r="BRR34" s="228"/>
      <c r="BRS34" s="228"/>
      <c r="BRT34" s="228"/>
      <c r="BRU34" s="228"/>
      <c r="BRV34" s="228"/>
      <c r="BRW34" s="228"/>
      <c r="BRX34" s="228"/>
      <c r="BRY34" s="228"/>
      <c r="BRZ34" s="228"/>
      <c r="BSA34" s="228"/>
      <c r="BSB34" s="228"/>
      <c r="BSC34" s="228"/>
      <c r="BSD34" s="228"/>
      <c r="BSE34" s="228"/>
      <c r="BSF34" s="228"/>
      <c r="BSG34" s="228"/>
      <c r="BSH34" s="228"/>
      <c r="BSI34" s="228"/>
      <c r="BSJ34" s="228"/>
      <c r="BSK34" s="228"/>
      <c r="BSL34" s="228"/>
      <c r="BSM34" s="228"/>
      <c r="BSN34" s="228"/>
      <c r="BSO34" s="228"/>
      <c r="BSP34" s="228"/>
      <c r="BSQ34" s="228"/>
      <c r="BSR34" s="228"/>
      <c r="BSS34" s="228"/>
      <c r="BST34" s="228"/>
      <c r="BSU34" s="228"/>
      <c r="BSV34" s="228"/>
      <c r="BSW34" s="228"/>
      <c r="BSX34" s="228"/>
      <c r="BSY34" s="228"/>
      <c r="BSZ34" s="228"/>
      <c r="BTA34" s="228"/>
      <c r="BTB34" s="228"/>
      <c r="BTC34" s="228"/>
      <c r="BTD34" s="228"/>
      <c r="BTE34" s="228"/>
      <c r="BTF34" s="228"/>
      <c r="BTG34" s="228"/>
      <c r="BTH34" s="228"/>
      <c r="BTI34" s="228"/>
      <c r="BTJ34" s="228"/>
      <c r="BTK34" s="228"/>
      <c r="BTL34" s="228"/>
      <c r="BTM34" s="228"/>
      <c r="BTN34" s="228"/>
      <c r="BTO34" s="228"/>
      <c r="BTP34" s="228"/>
      <c r="BTQ34" s="228"/>
      <c r="BTR34" s="228"/>
      <c r="BTS34" s="228"/>
      <c r="BTT34" s="228"/>
      <c r="BTU34" s="228"/>
      <c r="BTV34" s="228"/>
      <c r="BTW34" s="228"/>
      <c r="BTX34" s="228"/>
      <c r="BTY34" s="228"/>
      <c r="BTZ34" s="228"/>
      <c r="BUA34" s="228"/>
      <c r="BUB34" s="228"/>
      <c r="BUC34" s="228"/>
      <c r="BUD34" s="228"/>
      <c r="BUE34" s="228"/>
      <c r="BUF34" s="228"/>
      <c r="BUG34" s="228"/>
      <c r="BUH34" s="228"/>
      <c r="BUI34" s="228"/>
      <c r="BUJ34" s="228"/>
      <c r="BUK34" s="228"/>
      <c r="BUL34" s="228"/>
      <c r="BUM34" s="228"/>
      <c r="BUN34" s="228"/>
      <c r="BUO34" s="228"/>
      <c r="BUP34" s="228"/>
      <c r="BUQ34" s="228"/>
      <c r="BUR34" s="228"/>
      <c r="BUS34" s="228"/>
      <c r="BUT34" s="228"/>
      <c r="BUU34" s="228"/>
      <c r="BUV34" s="228"/>
      <c r="BUW34" s="228"/>
      <c r="BUX34" s="228"/>
      <c r="BUY34" s="228"/>
      <c r="BUZ34" s="228"/>
      <c r="BVA34" s="228"/>
      <c r="BVB34" s="228"/>
      <c r="BVC34" s="228"/>
      <c r="BVD34" s="228"/>
      <c r="BVE34" s="228"/>
      <c r="BVF34" s="228"/>
      <c r="BVG34" s="228"/>
      <c r="BVH34" s="228"/>
      <c r="BVI34" s="228"/>
      <c r="BVJ34" s="228"/>
      <c r="BVK34" s="228"/>
      <c r="BVL34" s="228"/>
      <c r="BVM34" s="228"/>
      <c r="BVN34" s="228"/>
      <c r="BVO34" s="228"/>
      <c r="BVP34" s="228"/>
      <c r="BVQ34" s="228"/>
      <c r="BVR34" s="228"/>
      <c r="BVS34" s="228"/>
      <c r="BVT34" s="228"/>
      <c r="BVU34" s="228"/>
      <c r="BVV34" s="228"/>
      <c r="BVW34" s="228"/>
      <c r="BVX34" s="228"/>
      <c r="BVY34" s="228"/>
      <c r="BVZ34" s="228"/>
      <c r="BWA34" s="228"/>
      <c r="BWB34" s="228"/>
      <c r="BWC34" s="228"/>
      <c r="BWD34" s="228"/>
      <c r="BWE34" s="228"/>
      <c r="BWF34" s="228"/>
      <c r="BWG34" s="228"/>
      <c r="BWH34" s="228"/>
      <c r="BWI34" s="228"/>
      <c r="BWJ34" s="228"/>
      <c r="BWK34" s="228"/>
      <c r="BWL34" s="228"/>
      <c r="BWM34" s="228"/>
      <c r="BWN34" s="228"/>
      <c r="BWO34" s="228"/>
      <c r="BWP34" s="228"/>
      <c r="BWQ34" s="228"/>
      <c r="BWR34" s="228"/>
      <c r="BWS34" s="228"/>
      <c r="BWT34" s="228"/>
      <c r="BWU34" s="228"/>
      <c r="BWV34" s="228"/>
      <c r="BWW34" s="228"/>
      <c r="BWX34" s="228"/>
      <c r="BWY34" s="228"/>
      <c r="BWZ34" s="228"/>
      <c r="BXA34" s="228"/>
      <c r="BXB34" s="228"/>
      <c r="BXC34" s="228"/>
      <c r="BXD34" s="228"/>
      <c r="BXE34" s="228"/>
      <c r="BXF34" s="228"/>
      <c r="BXG34" s="228"/>
      <c r="BXH34" s="228"/>
      <c r="BXI34" s="228"/>
      <c r="BXJ34" s="228"/>
      <c r="BXK34" s="228"/>
      <c r="BXL34" s="228"/>
      <c r="BXM34" s="228"/>
      <c r="BXN34" s="228"/>
      <c r="BXO34" s="228"/>
      <c r="BXP34" s="228"/>
      <c r="BXQ34" s="228"/>
      <c r="BXR34" s="228"/>
      <c r="BXS34" s="228"/>
      <c r="BXT34" s="228"/>
      <c r="BXU34" s="228"/>
      <c r="BXV34" s="228"/>
      <c r="BXW34" s="228"/>
      <c r="BXX34" s="228"/>
      <c r="BXY34" s="228"/>
      <c r="BXZ34" s="228"/>
      <c r="BYA34" s="228"/>
      <c r="BYB34" s="228"/>
      <c r="BYC34" s="228"/>
      <c r="BYD34" s="228"/>
      <c r="BYE34" s="228"/>
      <c r="BYF34" s="228"/>
      <c r="BYG34" s="228"/>
      <c r="BYH34" s="228"/>
      <c r="BYI34" s="228"/>
      <c r="BYJ34" s="228"/>
      <c r="BYK34" s="228"/>
      <c r="BYL34" s="228"/>
      <c r="BYM34" s="228"/>
      <c r="BYN34" s="228"/>
      <c r="BYO34" s="228"/>
      <c r="BYP34" s="228"/>
      <c r="BYQ34" s="228"/>
      <c r="BYR34" s="228"/>
      <c r="BYS34" s="228"/>
      <c r="BYT34" s="228"/>
      <c r="BYU34" s="228"/>
      <c r="BYV34" s="228"/>
      <c r="BYW34" s="228"/>
      <c r="BYX34" s="228"/>
      <c r="BYY34" s="228"/>
      <c r="BYZ34" s="228"/>
      <c r="BZA34" s="228"/>
      <c r="BZB34" s="228"/>
      <c r="BZC34" s="228"/>
      <c r="BZD34" s="228"/>
      <c r="BZE34" s="228"/>
      <c r="BZF34" s="228"/>
      <c r="BZG34" s="228"/>
      <c r="BZH34" s="228"/>
      <c r="BZI34" s="228"/>
      <c r="BZJ34" s="228"/>
      <c r="BZK34" s="228"/>
      <c r="BZL34" s="228"/>
      <c r="BZM34" s="228"/>
      <c r="BZN34" s="228"/>
      <c r="BZO34" s="228"/>
      <c r="BZP34" s="228"/>
      <c r="BZQ34" s="228"/>
      <c r="BZR34" s="228"/>
      <c r="BZS34" s="228"/>
      <c r="BZT34" s="228"/>
      <c r="BZU34" s="228"/>
      <c r="BZV34" s="228"/>
      <c r="BZW34" s="228"/>
      <c r="BZX34" s="228"/>
      <c r="BZY34" s="228"/>
      <c r="BZZ34" s="228"/>
      <c r="CAA34" s="228"/>
      <c r="CAB34" s="228"/>
      <c r="CAC34" s="228"/>
      <c r="CAD34" s="228"/>
      <c r="CAE34" s="228"/>
      <c r="CAF34" s="228"/>
      <c r="CAG34" s="228"/>
      <c r="CAH34" s="228"/>
      <c r="CAI34" s="228"/>
      <c r="CAJ34" s="228"/>
      <c r="CAK34" s="228"/>
      <c r="CAL34" s="228"/>
      <c r="CAM34" s="228"/>
      <c r="CAN34" s="228"/>
      <c r="CAO34" s="228"/>
      <c r="CAP34" s="228"/>
      <c r="CAQ34" s="228"/>
      <c r="CAR34" s="228"/>
      <c r="CAS34" s="228"/>
      <c r="CAT34" s="228"/>
      <c r="CAU34" s="228"/>
      <c r="CAV34" s="228"/>
      <c r="CAW34" s="228"/>
      <c r="CAX34" s="228"/>
      <c r="CAY34" s="228"/>
      <c r="CAZ34" s="228"/>
      <c r="CBA34" s="228"/>
      <c r="CBB34" s="228"/>
      <c r="CBC34" s="228"/>
      <c r="CBD34" s="228"/>
      <c r="CBE34" s="228"/>
      <c r="CBF34" s="228"/>
      <c r="CBG34" s="228"/>
      <c r="CBH34" s="228"/>
      <c r="CBI34" s="228"/>
      <c r="CBJ34" s="228"/>
      <c r="CBK34" s="228"/>
      <c r="CBL34" s="228"/>
      <c r="CBM34" s="228"/>
      <c r="CBN34" s="228"/>
      <c r="CBO34" s="228"/>
      <c r="CBP34" s="228"/>
      <c r="CBQ34" s="228"/>
      <c r="CBR34" s="228"/>
      <c r="CBS34" s="228"/>
      <c r="CBT34" s="228"/>
      <c r="CBU34" s="228"/>
      <c r="CBV34" s="228"/>
      <c r="CBW34" s="228"/>
      <c r="CBX34" s="228"/>
      <c r="CBY34" s="228"/>
      <c r="CBZ34" s="228"/>
      <c r="CCA34" s="228"/>
      <c r="CCB34" s="228"/>
      <c r="CCC34" s="228"/>
      <c r="CCD34" s="228"/>
      <c r="CCE34" s="228"/>
      <c r="CCF34" s="228"/>
      <c r="CCG34" s="228"/>
      <c r="CCH34" s="228"/>
      <c r="CCI34" s="228"/>
      <c r="CCJ34" s="228"/>
      <c r="CCK34" s="228"/>
      <c r="CCL34" s="228"/>
      <c r="CCM34" s="228"/>
      <c r="CCN34" s="228"/>
      <c r="CCO34" s="228"/>
      <c r="CCP34" s="228"/>
      <c r="CCQ34" s="228"/>
      <c r="CCR34" s="228"/>
      <c r="CCS34" s="228"/>
      <c r="CCT34" s="228"/>
      <c r="CCU34" s="228"/>
      <c r="CCV34" s="228"/>
      <c r="CCW34" s="228"/>
      <c r="CCX34" s="228"/>
      <c r="CCY34" s="228"/>
      <c r="CCZ34" s="228"/>
      <c r="CDA34" s="228"/>
      <c r="CDB34" s="228"/>
      <c r="CDC34" s="228"/>
      <c r="CDD34" s="228"/>
      <c r="CDE34" s="228"/>
      <c r="CDF34" s="228"/>
      <c r="CDG34" s="228"/>
      <c r="CDH34" s="228"/>
      <c r="CDI34" s="228"/>
      <c r="CDJ34" s="228"/>
      <c r="CDK34" s="228"/>
      <c r="CDL34" s="228"/>
      <c r="CDM34" s="228"/>
      <c r="CDN34" s="228"/>
      <c r="CDO34" s="228"/>
      <c r="CDP34" s="228"/>
      <c r="CDQ34" s="228"/>
      <c r="CDR34" s="228"/>
      <c r="CDS34" s="228"/>
      <c r="CDT34" s="228"/>
      <c r="CDU34" s="228"/>
      <c r="CDV34" s="228"/>
      <c r="CDW34" s="228"/>
      <c r="CDX34" s="228"/>
      <c r="CDY34" s="228"/>
      <c r="CDZ34" s="228"/>
      <c r="CEA34" s="228"/>
      <c r="CEB34" s="228"/>
      <c r="CEC34" s="228"/>
      <c r="CED34" s="228"/>
      <c r="CEE34" s="228"/>
      <c r="CEF34" s="228"/>
      <c r="CEG34" s="228"/>
      <c r="CEH34" s="228"/>
      <c r="CEI34" s="228"/>
      <c r="CEJ34" s="228"/>
      <c r="CEK34" s="228"/>
      <c r="CEL34" s="228"/>
      <c r="CEM34" s="228"/>
      <c r="CEN34" s="228"/>
      <c r="CEO34" s="228"/>
      <c r="CEP34" s="228"/>
      <c r="CEQ34" s="228"/>
      <c r="CER34" s="228"/>
      <c r="CES34" s="228"/>
      <c r="CET34" s="228"/>
      <c r="CEU34" s="228"/>
      <c r="CEV34" s="228"/>
      <c r="CEW34" s="228"/>
      <c r="CEX34" s="228"/>
      <c r="CEY34" s="228"/>
      <c r="CEZ34" s="228"/>
      <c r="CFA34" s="228"/>
      <c r="CFB34" s="228"/>
      <c r="CFC34" s="228"/>
      <c r="CFD34" s="228"/>
      <c r="CFE34" s="228"/>
      <c r="CFF34" s="228"/>
      <c r="CFG34" s="228"/>
      <c r="CFH34" s="228"/>
      <c r="CFI34" s="228"/>
      <c r="CFJ34" s="228"/>
      <c r="CFK34" s="228"/>
      <c r="CFL34" s="228"/>
      <c r="CFM34" s="228"/>
      <c r="CFN34" s="228"/>
      <c r="CFO34" s="228"/>
      <c r="CFP34" s="228"/>
      <c r="CFQ34" s="228"/>
      <c r="CFR34" s="228"/>
      <c r="CFS34" s="228"/>
      <c r="CFT34" s="228"/>
      <c r="CFU34" s="228"/>
      <c r="CFV34" s="228"/>
      <c r="CFW34" s="228"/>
      <c r="CFX34" s="228"/>
      <c r="CFY34" s="228"/>
      <c r="CFZ34" s="228"/>
      <c r="CGA34" s="228"/>
      <c r="CGB34" s="228"/>
      <c r="CGC34" s="228"/>
      <c r="CGD34" s="228"/>
      <c r="CGE34" s="228"/>
      <c r="CGF34" s="228"/>
      <c r="CGG34" s="228"/>
      <c r="CGH34" s="228"/>
      <c r="CGI34" s="228"/>
      <c r="CGJ34" s="228"/>
      <c r="CGK34" s="228"/>
      <c r="CGL34" s="228"/>
      <c r="CGM34" s="228"/>
      <c r="CGN34" s="228"/>
      <c r="CGO34" s="228"/>
      <c r="CGP34" s="228"/>
      <c r="CGQ34" s="228"/>
      <c r="CGR34" s="228"/>
      <c r="CGS34" s="228"/>
      <c r="CGT34" s="228"/>
      <c r="CGU34" s="228"/>
      <c r="CGV34" s="228"/>
      <c r="CGW34" s="228"/>
      <c r="CGX34" s="228"/>
      <c r="CGY34" s="228"/>
      <c r="CGZ34" s="228"/>
      <c r="CHA34" s="228"/>
      <c r="CHB34" s="228"/>
      <c r="CHC34" s="228"/>
      <c r="CHD34" s="228"/>
      <c r="CHE34" s="228"/>
      <c r="CHF34" s="228"/>
      <c r="CHG34" s="228"/>
      <c r="CHH34" s="228"/>
      <c r="CHI34" s="228"/>
      <c r="CHJ34" s="228"/>
      <c r="CHK34" s="228"/>
      <c r="CHL34" s="228"/>
      <c r="CHM34" s="228"/>
      <c r="CHN34" s="228"/>
      <c r="CHO34" s="228"/>
      <c r="CHP34" s="228"/>
      <c r="CHQ34" s="228"/>
      <c r="CHR34" s="228"/>
      <c r="CHS34" s="228"/>
      <c r="CHT34" s="228"/>
      <c r="CHU34" s="228"/>
      <c r="CHV34" s="228"/>
      <c r="CHW34" s="228"/>
      <c r="CHX34" s="228"/>
      <c r="CHY34" s="228"/>
      <c r="CHZ34" s="228"/>
      <c r="CIA34" s="228"/>
      <c r="CIB34" s="228"/>
      <c r="CIC34" s="228"/>
      <c r="CID34" s="228"/>
      <c r="CIE34" s="228"/>
      <c r="CIF34" s="228"/>
      <c r="CIG34" s="228"/>
      <c r="CIH34" s="228"/>
      <c r="CII34" s="228"/>
      <c r="CIJ34" s="228"/>
      <c r="CIK34" s="228"/>
      <c r="CIL34" s="228"/>
      <c r="CIM34" s="228"/>
      <c r="CIN34" s="228"/>
      <c r="CIO34" s="228"/>
      <c r="CIP34" s="228"/>
      <c r="CIQ34" s="228"/>
      <c r="CIR34" s="228"/>
      <c r="CIS34" s="228"/>
      <c r="CIT34" s="228"/>
      <c r="CIU34" s="228"/>
      <c r="CIV34" s="228"/>
      <c r="CIW34" s="228"/>
      <c r="CIX34" s="228"/>
      <c r="CIY34" s="228"/>
      <c r="CIZ34" s="228"/>
      <c r="CJA34" s="228"/>
      <c r="CJB34" s="228"/>
      <c r="CJC34" s="228"/>
      <c r="CJD34" s="228"/>
      <c r="CJE34" s="228"/>
      <c r="CJF34" s="228"/>
      <c r="CJG34" s="228"/>
      <c r="CJH34" s="228"/>
      <c r="CJI34" s="228"/>
      <c r="CJJ34" s="228"/>
      <c r="CJK34" s="228"/>
      <c r="CJL34" s="228"/>
      <c r="CJM34" s="228"/>
      <c r="CJN34" s="228"/>
      <c r="CJO34" s="228"/>
      <c r="CJP34" s="228"/>
      <c r="CJQ34" s="228"/>
      <c r="CJR34" s="228"/>
      <c r="CJS34" s="228"/>
      <c r="CJT34" s="228"/>
      <c r="CJU34" s="228"/>
      <c r="CJV34" s="228"/>
      <c r="CJW34" s="228"/>
      <c r="CJX34" s="228"/>
      <c r="CJY34" s="228"/>
      <c r="CJZ34" s="228"/>
      <c r="CKA34" s="228"/>
      <c r="CKB34" s="228"/>
      <c r="CKC34" s="228"/>
      <c r="CKD34" s="228"/>
      <c r="CKE34" s="228"/>
      <c r="CKF34" s="228"/>
      <c r="CKG34" s="228"/>
      <c r="CKH34" s="228"/>
      <c r="CKI34" s="228"/>
      <c r="CKJ34" s="228"/>
      <c r="CKK34" s="228"/>
      <c r="CKL34" s="228"/>
      <c r="CKM34" s="228"/>
      <c r="CKN34" s="228"/>
      <c r="CKO34" s="228"/>
      <c r="CKP34" s="228"/>
      <c r="CKQ34" s="228"/>
      <c r="CKR34" s="228"/>
      <c r="CKS34" s="228"/>
      <c r="CKT34" s="228"/>
      <c r="CKU34" s="228"/>
      <c r="CKV34" s="228"/>
      <c r="CKW34" s="228"/>
      <c r="CKX34" s="228"/>
      <c r="CKY34" s="228"/>
      <c r="CKZ34" s="228"/>
      <c r="CLA34" s="228"/>
      <c r="CLB34" s="228"/>
      <c r="CLC34" s="228"/>
      <c r="CLD34" s="228"/>
      <c r="CLE34" s="228"/>
      <c r="CLF34" s="228"/>
      <c r="CLG34" s="228"/>
      <c r="CLH34" s="228"/>
      <c r="CLI34" s="228"/>
      <c r="CLJ34" s="228"/>
      <c r="CLK34" s="228"/>
      <c r="CLL34" s="228"/>
      <c r="CLM34" s="228"/>
      <c r="CLN34" s="228"/>
      <c r="CLO34" s="228"/>
      <c r="CLP34" s="228"/>
      <c r="CLQ34" s="228"/>
      <c r="CLR34" s="228"/>
      <c r="CLS34" s="228"/>
      <c r="CLT34" s="228"/>
      <c r="CLU34" s="228"/>
      <c r="CLV34" s="228"/>
      <c r="CLW34" s="228"/>
      <c r="CLX34" s="228"/>
      <c r="CLY34" s="228"/>
      <c r="CLZ34" s="228"/>
      <c r="CMA34" s="228"/>
      <c r="CMB34" s="228"/>
      <c r="CMC34" s="228"/>
      <c r="CMD34" s="228"/>
      <c r="CME34" s="228"/>
      <c r="CMF34" s="228"/>
      <c r="CMG34" s="228"/>
      <c r="CMH34" s="228"/>
      <c r="CMI34" s="228"/>
      <c r="CMJ34" s="228"/>
      <c r="CMK34" s="228"/>
      <c r="CML34" s="228"/>
      <c r="CMM34" s="228"/>
      <c r="CMN34" s="228"/>
      <c r="CMO34" s="228"/>
      <c r="CMP34" s="228"/>
      <c r="CMQ34" s="228"/>
      <c r="CMR34" s="228"/>
      <c r="CMS34" s="228"/>
      <c r="CMT34" s="228"/>
      <c r="CMU34" s="228"/>
      <c r="CMV34" s="228"/>
      <c r="CMW34" s="228"/>
      <c r="CMX34" s="228"/>
      <c r="CMY34" s="228"/>
      <c r="CMZ34" s="228"/>
      <c r="CNA34" s="228"/>
      <c r="CNB34" s="228"/>
      <c r="CNC34" s="228"/>
      <c r="CND34" s="228"/>
      <c r="CNE34" s="228"/>
      <c r="CNF34" s="228"/>
      <c r="CNG34" s="228"/>
      <c r="CNH34" s="228"/>
      <c r="CNI34" s="228"/>
      <c r="CNJ34" s="228"/>
      <c r="CNK34" s="228"/>
      <c r="CNL34" s="228"/>
      <c r="CNM34" s="228"/>
      <c r="CNN34" s="228"/>
      <c r="CNO34" s="228"/>
      <c r="CNP34" s="228"/>
      <c r="CNQ34" s="228"/>
      <c r="CNR34" s="228"/>
      <c r="CNS34" s="228"/>
      <c r="CNT34" s="228"/>
      <c r="CNU34" s="228"/>
      <c r="CNV34" s="228"/>
      <c r="CNW34" s="228"/>
      <c r="CNX34" s="228"/>
      <c r="CNY34" s="228"/>
      <c r="CNZ34" s="228"/>
      <c r="COA34" s="228"/>
      <c r="COB34" s="228"/>
      <c r="COC34" s="228"/>
      <c r="COD34" s="228"/>
      <c r="COE34" s="228"/>
      <c r="COF34" s="228"/>
      <c r="COG34" s="228"/>
      <c r="COH34" s="228"/>
      <c r="COI34" s="228"/>
      <c r="COJ34" s="228"/>
      <c r="COK34" s="228"/>
      <c r="COL34" s="228"/>
      <c r="COM34" s="228"/>
      <c r="CON34" s="228"/>
      <c r="COO34" s="228"/>
      <c r="COP34" s="228"/>
      <c r="COQ34" s="228"/>
      <c r="COR34" s="228"/>
      <c r="COS34" s="228"/>
      <c r="COT34" s="228"/>
      <c r="COU34" s="228"/>
      <c r="COV34" s="228"/>
      <c r="COW34" s="228"/>
      <c r="COX34" s="228"/>
      <c r="COY34" s="228"/>
      <c r="COZ34" s="228"/>
      <c r="CPA34" s="228"/>
      <c r="CPB34" s="228"/>
      <c r="CPC34" s="228"/>
      <c r="CPD34" s="228"/>
      <c r="CPE34" s="228"/>
      <c r="CPF34" s="228"/>
      <c r="CPG34" s="228"/>
      <c r="CPH34" s="228"/>
      <c r="CPI34" s="228"/>
      <c r="CPJ34" s="228"/>
      <c r="CPK34" s="228"/>
      <c r="CPL34" s="228"/>
      <c r="CPM34" s="228"/>
      <c r="CPN34" s="228"/>
      <c r="CPO34" s="228"/>
      <c r="CPP34" s="228"/>
      <c r="CPQ34" s="228"/>
      <c r="CPR34" s="228"/>
      <c r="CPS34" s="228"/>
      <c r="CPT34" s="228"/>
      <c r="CPU34" s="228"/>
      <c r="CPV34" s="228"/>
      <c r="CPW34" s="228"/>
      <c r="CPX34" s="228"/>
      <c r="CPY34" s="228"/>
      <c r="CPZ34" s="228"/>
      <c r="CQA34" s="228"/>
      <c r="CQB34" s="228"/>
      <c r="CQC34" s="228"/>
      <c r="CQD34" s="228"/>
      <c r="CQE34" s="228"/>
      <c r="CQF34" s="228"/>
      <c r="CQG34" s="228"/>
      <c r="CQH34" s="228"/>
      <c r="CQI34" s="228"/>
      <c r="CQJ34" s="228"/>
      <c r="CQK34" s="228"/>
      <c r="CQL34" s="228"/>
      <c r="CQM34" s="228"/>
      <c r="CQN34" s="228"/>
      <c r="CQO34" s="228"/>
      <c r="CQP34" s="228"/>
      <c r="CQQ34" s="228"/>
      <c r="CQR34" s="228"/>
      <c r="CQS34" s="228"/>
      <c r="CQT34" s="228"/>
      <c r="CQU34" s="228"/>
      <c r="CQV34" s="228"/>
      <c r="CQW34" s="228"/>
      <c r="CQX34" s="228"/>
      <c r="CQY34" s="228"/>
      <c r="CQZ34" s="228"/>
      <c r="CRA34" s="228"/>
      <c r="CRB34" s="228"/>
      <c r="CRC34" s="228"/>
      <c r="CRD34" s="228"/>
      <c r="CRE34" s="228"/>
      <c r="CRF34" s="228"/>
      <c r="CRG34" s="228"/>
      <c r="CRH34" s="228"/>
      <c r="CRI34" s="228"/>
      <c r="CRJ34" s="228"/>
      <c r="CRK34" s="228"/>
      <c r="CRL34" s="228"/>
      <c r="CRM34" s="228"/>
      <c r="CRN34" s="228"/>
      <c r="CRO34" s="228"/>
      <c r="CRP34" s="228"/>
      <c r="CRQ34" s="228"/>
      <c r="CRR34" s="228"/>
      <c r="CRS34" s="228"/>
      <c r="CRT34" s="228"/>
      <c r="CRU34" s="228"/>
      <c r="CRV34" s="228"/>
      <c r="CRW34" s="228"/>
      <c r="CRX34" s="228"/>
      <c r="CRY34" s="228"/>
      <c r="CRZ34" s="228"/>
      <c r="CSA34" s="228"/>
      <c r="CSB34" s="228"/>
      <c r="CSC34" s="228"/>
      <c r="CSD34" s="228"/>
      <c r="CSE34" s="228"/>
      <c r="CSF34" s="228"/>
      <c r="CSG34" s="228"/>
      <c r="CSH34" s="228"/>
      <c r="CSI34" s="228"/>
      <c r="CSJ34" s="228"/>
      <c r="CSK34" s="228"/>
      <c r="CSL34" s="228"/>
      <c r="CSM34" s="228"/>
      <c r="CSN34" s="228"/>
      <c r="CSO34" s="228"/>
      <c r="CSP34" s="228"/>
      <c r="CSQ34" s="228"/>
      <c r="CSR34" s="228"/>
      <c r="CSS34" s="228"/>
      <c r="CST34" s="228"/>
      <c r="CSU34" s="228"/>
      <c r="CSV34" s="228"/>
      <c r="CSW34" s="228"/>
      <c r="CSX34" s="228"/>
      <c r="CSY34" s="228"/>
      <c r="CSZ34" s="228"/>
      <c r="CTA34" s="228"/>
      <c r="CTB34" s="228"/>
      <c r="CTC34" s="228"/>
      <c r="CTD34" s="228"/>
      <c r="CTE34" s="228"/>
      <c r="CTF34" s="228"/>
      <c r="CTG34" s="228"/>
      <c r="CTH34" s="228"/>
      <c r="CTI34" s="228"/>
      <c r="CTJ34" s="228"/>
      <c r="CTK34" s="228"/>
      <c r="CTL34" s="228"/>
      <c r="CTM34" s="228"/>
      <c r="CTN34" s="228"/>
      <c r="CTO34" s="228"/>
      <c r="CTP34" s="228"/>
      <c r="CTQ34" s="228"/>
      <c r="CTR34" s="228"/>
      <c r="CTS34" s="228"/>
      <c r="CTT34" s="228"/>
      <c r="CTU34" s="228"/>
      <c r="CTV34" s="228"/>
      <c r="CTW34" s="228"/>
      <c r="CTX34" s="228"/>
      <c r="CTY34" s="228"/>
      <c r="CTZ34" s="228"/>
      <c r="CUA34" s="228"/>
      <c r="CUB34" s="228"/>
      <c r="CUC34" s="228"/>
      <c r="CUD34" s="228"/>
      <c r="CUE34" s="228"/>
      <c r="CUF34" s="228"/>
      <c r="CUG34" s="228"/>
      <c r="CUH34" s="228"/>
      <c r="CUI34" s="228"/>
      <c r="CUJ34" s="228"/>
      <c r="CUK34" s="228"/>
      <c r="CUL34" s="228"/>
      <c r="CUM34" s="228"/>
      <c r="CUN34" s="228"/>
      <c r="CUO34" s="228"/>
      <c r="CUP34" s="228"/>
      <c r="CUQ34" s="228"/>
      <c r="CUR34" s="228"/>
      <c r="CUS34" s="228"/>
      <c r="CUT34" s="228"/>
      <c r="CUU34" s="228"/>
      <c r="CUV34" s="228"/>
      <c r="CUW34" s="228"/>
      <c r="CUX34" s="228"/>
      <c r="CUY34" s="228"/>
      <c r="CUZ34" s="228"/>
      <c r="CVA34" s="228"/>
      <c r="CVB34" s="228"/>
      <c r="CVC34" s="228"/>
      <c r="CVD34" s="228"/>
      <c r="CVE34" s="228"/>
      <c r="CVF34" s="228"/>
      <c r="CVG34" s="228"/>
      <c r="CVH34" s="228"/>
      <c r="CVI34" s="228"/>
      <c r="CVJ34" s="228"/>
      <c r="CVK34" s="228"/>
      <c r="CVL34" s="228"/>
      <c r="CVM34" s="228"/>
      <c r="CVN34" s="228"/>
      <c r="CVO34" s="228"/>
      <c r="CVP34" s="228"/>
      <c r="CVQ34" s="228"/>
      <c r="CVR34" s="228"/>
      <c r="CVS34" s="228"/>
      <c r="CVT34" s="228"/>
      <c r="CVU34" s="228"/>
      <c r="CVV34" s="228"/>
      <c r="CVW34" s="228"/>
      <c r="CVX34" s="228"/>
      <c r="CVY34" s="228"/>
      <c r="CVZ34" s="228"/>
      <c r="CWA34" s="228"/>
      <c r="CWB34" s="228"/>
      <c r="CWC34" s="228"/>
      <c r="CWD34" s="228"/>
      <c r="CWE34" s="228"/>
      <c r="CWF34" s="228"/>
      <c r="CWG34" s="228"/>
      <c r="CWH34" s="228"/>
      <c r="CWI34" s="228"/>
      <c r="CWJ34" s="228"/>
      <c r="CWK34" s="228"/>
      <c r="CWL34" s="228"/>
      <c r="CWM34" s="228"/>
      <c r="CWN34" s="228"/>
      <c r="CWO34" s="228"/>
      <c r="CWP34" s="228"/>
      <c r="CWQ34" s="228"/>
      <c r="CWR34" s="228"/>
      <c r="CWS34" s="228"/>
      <c r="CWT34" s="228"/>
      <c r="CWU34" s="228"/>
      <c r="CWV34" s="228"/>
      <c r="CWW34" s="228"/>
      <c r="CWX34" s="228"/>
      <c r="CWY34" s="228"/>
      <c r="CWZ34" s="228"/>
      <c r="CXA34" s="228"/>
      <c r="CXB34" s="228"/>
      <c r="CXC34" s="228"/>
      <c r="CXD34" s="228"/>
      <c r="CXE34" s="228"/>
      <c r="CXF34" s="228"/>
      <c r="CXG34" s="228"/>
      <c r="CXH34" s="228"/>
      <c r="CXI34" s="228"/>
      <c r="CXJ34" s="228"/>
      <c r="CXK34" s="228"/>
      <c r="CXL34" s="228"/>
      <c r="CXM34" s="228"/>
      <c r="CXN34" s="228"/>
      <c r="CXO34" s="228"/>
      <c r="CXP34" s="228"/>
      <c r="CXQ34" s="228"/>
      <c r="CXR34" s="228"/>
      <c r="CXS34" s="228"/>
      <c r="CXT34" s="228"/>
      <c r="CXU34" s="228"/>
      <c r="CXV34" s="228"/>
      <c r="CXW34" s="228"/>
      <c r="CXX34" s="228"/>
      <c r="CXY34" s="228"/>
      <c r="CXZ34" s="228"/>
      <c r="CYA34" s="228"/>
      <c r="CYB34" s="228"/>
      <c r="CYC34" s="228"/>
      <c r="CYD34" s="228"/>
      <c r="CYE34" s="228"/>
      <c r="CYF34" s="228"/>
      <c r="CYG34" s="228"/>
      <c r="CYH34" s="228"/>
      <c r="CYI34" s="228"/>
      <c r="CYJ34" s="228"/>
      <c r="CYK34" s="228"/>
      <c r="CYL34" s="228"/>
      <c r="CYM34" s="228"/>
      <c r="CYN34" s="228"/>
      <c r="CYO34" s="228"/>
      <c r="CYP34" s="228"/>
      <c r="CYQ34" s="228"/>
      <c r="CYR34" s="228"/>
      <c r="CYS34" s="228"/>
      <c r="CYT34" s="228"/>
      <c r="CYU34" s="228"/>
      <c r="CYV34" s="228"/>
      <c r="CYW34" s="228"/>
      <c r="CYX34" s="228"/>
      <c r="CYY34" s="228"/>
      <c r="CYZ34" s="228"/>
      <c r="CZA34" s="228"/>
      <c r="CZB34" s="228"/>
      <c r="CZC34" s="228"/>
      <c r="CZD34" s="228"/>
      <c r="CZE34" s="228"/>
      <c r="CZF34" s="228"/>
      <c r="CZG34" s="228"/>
      <c r="CZH34" s="228"/>
      <c r="CZI34" s="228"/>
      <c r="CZJ34" s="228"/>
      <c r="CZK34" s="228"/>
      <c r="CZL34" s="228"/>
      <c r="CZM34" s="228"/>
      <c r="CZN34" s="228"/>
      <c r="CZO34" s="228"/>
      <c r="CZP34" s="228"/>
      <c r="CZQ34" s="228"/>
      <c r="CZR34" s="228"/>
      <c r="CZS34" s="228"/>
      <c r="CZT34" s="228"/>
      <c r="CZU34" s="228"/>
      <c r="CZV34" s="228"/>
      <c r="CZW34" s="228"/>
      <c r="CZX34" s="228"/>
      <c r="CZY34" s="228"/>
      <c r="CZZ34" s="228"/>
      <c r="DAA34" s="228"/>
      <c r="DAB34" s="228"/>
      <c r="DAC34" s="228"/>
      <c r="DAD34" s="228"/>
      <c r="DAE34" s="228"/>
      <c r="DAF34" s="228"/>
      <c r="DAG34" s="228"/>
      <c r="DAH34" s="228"/>
      <c r="DAI34" s="228"/>
      <c r="DAJ34" s="228"/>
      <c r="DAK34" s="228"/>
      <c r="DAL34" s="228"/>
      <c r="DAM34" s="228"/>
      <c r="DAN34" s="228"/>
      <c r="DAO34" s="228"/>
      <c r="DAP34" s="228"/>
      <c r="DAQ34" s="228"/>
      <c r="DAR34" s="228"/>
      <c r="DAS34" s="228"/>
      <c r="DAT34" s="228"/>
      <c r="DAU34" s="228"/>
      <c r="DAV34" s="228"/>
      <c r="DAW34" s="228"/>
      <c r="DAX34" s="228"/>
      <c r="DAY34" s="228"/>
      <c r="DAZ34" s="228"/>
      <c r="DBA34" s="228"/>
      <c r="DBB34" s="228"/>
      <c r="DBC34" s="228"/>
      <c r="DBD34" s="228"/>
      <c r="DBE34" s="228"/>
      <c r="DBF34" s="228"/>
      <c r="DBG34" s="228"/>
      <c r="DBH34" s="228"/>
      <c r="DBI34" s="228"/>
      <c r="DBJ34" s="228"/>
      <c r="DBK34" s="228"/>
      <c r="DBL34" s="228"/>
      <c r="DBM34" s="228"/>
      <c r="DBN34" s="228"/>
      <c r="DBO34" s="228"/>
      <c r="DBP34" s="228"/>
      <c r="DBQ34" s="228"/>
      <c r="DBR34" s="228"/>
      <c r="DBS34" s="228"/>
      <c r="DBT34" s="228"/>
      <c r="DBU34" s="228"/>
      <c r="DBV34" s="228"/>
      <c r="DBW34" s="228"/>
      <c r="DBX34" s="228"/>
      <c r="DBY34" s="228"/>
      <c r="DBZ34" s="228"/>
      <c r="DCA34" s="228"/>
      <c r="DCB34" s="228"/>
      <c r="DCC34" s="228"/>
      <c r="DCD34" s="228"/>
      <c r="DCE34" s="228"/>
      <c r="DCF34" s="228"/>
      <c r="DCG34" s="228"/>
      <c r="DCH34" s="228"/>
      <c r="DCI34" s="228"/>
      <c r="DCJ34" s="228"/>
      <c r="DCK34" s="228"/>
      <c r="DCL34" s="228"/>
      <c r="DCM34" s="228"/>
      <c r="DCN34" s="228"/>
      <c r="DCO34" s="228"/>
      <c r="DCP34" s="228"/>
      <c r="DCQ34" s="228"/>
      <c r="DCR34" s="228"/>
      <c r="DCS34" s="228"/>
      <c r="DCT34" s="228"/>
      <c r="DCU34" s="228"/>
      <c r="DCV34" s="228"/>
      <c r="DCW34" s="228"/>
      <c r="DCX34" s="228"/>
      <c r="DCY34" s="228"/>
      <c r="DCZ34" s="228"/>
      <c r="DDA34" s="228"/>
      <c r="DDB34" s="228"/>
      <c r="DDC34" s="228"/>
      <c r="DDD34" s="228"/>
      <c r="DDE34" s="228"/>
      <c r="DDF34" s="228"/>
      <c r="DDG34" s="228"/>
      <c r="DDH34" s="228"/>
      <c r="DDI34" s="228"/>
      <c r="DDJ34" s="228"/>
      <c r="DDK34" s="228"/>
      <c r="DDL34" s="228"/>
      <c r="DDM34" s="228"/>
      <c r="DDN34" s="228"/>
      <c r="DDO34" s="228"/>
      <c r="DDP34" s="228"/>
      <c r="DDQ34" s="228"/>
      <c r="DDR34" s="228"/>
      <c r="DDS34" s="228"/>
      <c r="DDT34" s="228"/>
      <c r="DDU34" s="228"/>
      <c r="DDV34" s="228"/>
      <c r="DDW34" s="228"/>
      <c r="DDX34" s="228"/>
      <c r="DDY34" s="228"/>
      <c r="DDZ34" s="228"/>
      <c r="DEA34" s="228"/>
      <c r="DEB34" s="228"/>
      <c r="DEC34" s="228"/>
      <c r="DED34" s="228"/>
      <c r="DEE34" s="228"/>
      <c r="DEF34" s="228"/>
      <c r="DEG34" s="228"/>
      <c r="DEH34" s="228"/>
      <c r="DEI34" s="228"/>
      <c r="DEJ34" s="228"/>
      <c r="DEK34" s="228"/>
      <c r="DEL34" s="228"/>
      <c r="DEM34" s="228"/>
      <c r="DEN34" s="228"/>
      <c r="DEO34" s="228"/>
      <c r="DEP34" s="228"/>
      <c r="DEQ34" s="228"/>
      <c r="DER34" s="228"/>
      <c r="DES34" s="228"/>
      <c r="DET34" s="228"/>
      <c r="DEU34" s="228"/>
      <c r="DEV34" s="228"/>
      <c r="DEW34" s="228"/>
      <c r="DEX34" s="228"/>
      <c r="DEY34" s="228"/>
      <c r="DEZ34" s="228"/>
      <c r="DFA34" s="228"/>
      <c r="DFB34" s="228"/>
      <c r="DFC34" s="228"/>
      <c r="DFD34" s="228"/>
      <c r="DFE34" s="228"/>
      <c r="DFF34" s="228"/>
      <c r="DFG34" s="228"/>
      <c r="DFH34" s="228"/>
      <c r="DFI34" s="228"/>
      <c r="DFJ34" s="228"/>
      <c r="DFK34" s="228"/>
      <c r="DFL34" s="228"/>
      <c r="DFM34" s="228"/>
      <c r="DFN34" s="228"/>
      <c r="DFO34" s="228"/>
      <c r="DFP34" s="228"/>
      <c r="DFQ34" s="228"/>
      <c r="DFR34" s="228"/>
      <c r="DFS34" s="228"/>
      <c r="DFT34" s="228"/>
      <c r="DFU34" s="228"/>
      <c r="DFV34" s="228"/>
      <c r="DFW34" s="228"/>
      <c r="DFX34" s="228"/>
      <c r="DFY34" s="228"/>
      <c r="DFZ34" s="228"/>
      <c r="DGA34" s="228"/>
      <c r="DGB34" s="228"/>
      <c r="DGC34" s="228"/>
      <c r="DGD34" s="228"/>
      <c r="DGE34" s="228"/>
      <c r="DGF34" s="228"/>
      <c r="DGG34" s="228"/>
      <c r="DGH34" s="228"/>
      <c r="DGI34" s="228"/>
      <c r="DGJ34" s="228"/>
      <c r="DGK34" s="228"/>
      <c r="DGL34" s="228"/>
      <c r="DGM34" s="228"/>
      <c r="DGN34" s="228"/>
      <c r="DGO34" s="228"/>
      <c r="DGP34" s="228"/>
      <c r="DGQ34" s="228"/>
      <c r="DGR34" s="228"/>
      <c r="DGS34" s="228"/>
      <c r="DGT34" s="228"/>
      <c r="DGU34" s="228"/>
      <c r="DGV34" s="228"/>
      <c r="DGW34" s="228"/>
      <c r="DGX34" s="228"/>
      <c r="DGY34" s="228"/>
      <c r="DGZ34" s="228"/>
      <c r="DHA34" s="228"/>
      <c r="DHB34" s="228"/>
      <c r="DHC34" s="228"/>
      <c r="DHD34" s="228"/>
      <c r="DHE34" s="228"/>
      <c r="DHF34" s="228"/>
      <c r="DHG34" s="228"/>
      <c r="DHH34" s="228"/>
      <c r="DHI34" s="228"/>
      <c r="DHJ34" s="228"/>
      <c r="DHK34" s="228"/>
      <c r="DHL34" s="228"/>
      <c r="DHM34" s="228"/>
      <c r="DHN34" s="228"/>
      <c r="DHO34" s="228"/>
      <c r="DHP34" s="228"/>
      <c r="DHQ34" s="228"/>
      <c r="DHR34" s="228"/>
      <c r="DHS34" s="228"/>
      <c r="DHT34" s="228"/>
      <c r="DHU34" s="228"/>
      <c r="DHV34" s="228"/>
      <c r="DHW34" s="228"/>
      <c r="DHX34" s="228"/>
      <c r="DHY34" s="228"/>
      <c r="DHZ34" s="228"/>
      <c r="DIA34" s="228"/>
      <c r="DIB34" s="228"/>
      <c r="DIC34" s="228"/>
      <c r="DID34" s="228"/>
      <c r="DIE34" s="228"/>
      <c r="DIF34" s="228"/>
      <c r="DIG34" s="228"/>
      <c r="DIH34" s="228"/>
      <c r="DII34" s="228"/>
      <c r="DIJ34" s="228"/>
      <c r="DIK34" s="228"/>
      <c r="DIL34" s="228"/>
      <c r="DIM34" s="228"/>
      <c r="DIN34" s="228"/>
      <c r="DIO34" s="228"/>
      <c r="DIP34" s="228"/>
      <c r="DIQ34" s="228"/>
      <c r="DIR34" s="228"/>
      <c r="DIS34" s="228"/>
      <c r="DIT34" s="228"/>
      <c r="DIU34" s="228"/>
      <c r="DIV34" s="228"/>
      <c r="DIW34" s="228"/>
      <c r="DIX34" s="228"/>
      <c r="DIY34" s="228"/>
      <c r="DIZ34" s="228"/>
      <c r="DJA34" s="228"/>
      <c r="DJB34" s="228"/>
      <c r="DJC34" s="228"/>
      <c r="DJD34" s="228"/>
      <c r="DJE34" s="228"/>
      <c r="DJF34" s="228"/>
      <c r="DJG34" s="228"/>
      <c r="DJH34" s="228"/>
      <c r="DJI34" s="228"/>
      <c r="DJJ34" s="228"/>
      <c r="DJK34" s="228"/>
      <c r="DJL34" s="228"/>
      <c r="DJM34" s="228"/>
      <c r="DJN34" s="228"/>
      <c r="DJO34" s="228"/>
      <c r="DJP34" s="228"/>
      <c r="DJQ34" s="228"/>
      <c r="DJR34" s="228"/>
      <c r="DJS34" s="228"/>
      <c r="DJT34" s="228"/>
      <c r="DJU34" s="228"/>
      <c r="DJV34" s="228"/>
      <c r="DJW34" s="228"/>
      <c r="DJX34" s="228"/>
      <c r="DJY34" s="228"/>
      <c r="DJZ34" s="228"/>
      <c r="DKA34" s="228"/>
      <c r="DKB34" s="228"/>
      <c r="DKC34" s="228"/>
      <c r="DKD34" s="228"/>
      <c r="DKE34" s="228"/>
      <c r="DKF34" s="228"/>
      <c r="DKG34" s="228"/>
      <c r="DKH34" s="228"/>
      <c r="DKI34" s="228"/>
      <c r="DKJ34" s="228"/>
      <c r="DKK34" s="228"/>
      <c r="DKL34" s="228"/>
      <c r="DKM34" s="228"/>
      <c r="DKN34" s="228"/>
      <c r="DKO34" s="228"/>
      <c r="DKP34" s="228"/>
      <c r="DKQ34" s="228"/>
      <c r="DKR34" s="228"/>
      <c r="DKS34" s="228"/>
      <c r="DKT34" s="228"/>
      <c r="DKU34" s="228"/>
      <c r="DKV34" s="228"/>
      <c r="DKW34" s="228"/>
      <c r="DKX34" s="228"/>
      <c r="DKY34" s="228"/>
      <c r="DKZ34" s="228"/>
      <c r="DLA34" s="228"/>
      <c r="DLB34" s="228"/>
      <c r="DLC34" s="228"/>
      <c r="DLD34" s="228"/>
      <c r="DLE34" s="228"/>
      <c r="DLF34" s="228"/>
      <c r="DLG34" s="228"/>
      <c r="DLH34" s="228"/>
      <c r="DLI34" s="228"/>
      <c r="DLJ34" s="228"/>
      <c r="DLK34" s="228"/>
      <c r="DLL34" s="228"/>
      <c r="DLM34" s="228"/>
      <c r="DLN34" s="228"/>
      <c r="DLO34" s="228"/>
      <c r="DLP34" s="228"/>
      <c r="DLQ34" s="228"/>
      <c r="DLR34" s="228"/>
      <c r="DLS34" s="228"/>
      <c r="DLT34" s="228"/>
      <c r="DLU34" s="228"/>
      <c r="DLV34" s="228"/>
      <c r="DLW34" s="228"/>
      <c r="DLX34" s="228"/>
      <c r="DLY34" s="228"/>
      <c r="DLZ34" s="228"/>
      <c r="DMA34" s="228"/>
      <c r="DMB34" s="228"/>
      <c r="DMC34" s="228"/>
      <c r="DMD34" s="228"/>
      <c r="DME34" s="228"/>
      <c r="DMF34" s="228"/>
      <c r="DMG34" s="228"/>
      <c r="DMH34" s="228"/>
      <c r="DMI34" s="228"/>
      <c r="DMJ34" s="228"/>
      <c r="DMK34" s="228"/>
      <c r="DML34" s="228"/>
      <c r="DMM34" s="228"/>
      <c r="DMN34" s="228"/>
      <c r="DMO34" s="228"/>
      <c r="DMP34" s="228"/>
      <c r="DMQ34" s="228"/>
      <c r="DMR34" s="228"/>
      <c r="DMS34" s="228"/>
      <c r="DMT34" s="228"/>
      <c r="DMU34" s="228"/>
      <c r="DMV34" s="228"/>
      <c r="DMW34" s="228"/>
      <c r="DMX34" s="228"/>
      <c r="DMY34" s="228"/>
      <c r="DMZ34" s="228"/>
      <c r="DNA34" s="228"/>
      <c r="DNB34" s="228"/>
      <c r="DNC34" s="228"/>
      <c r="DND34" s="228"/>
      <c r="DNE34" s="228"/>
      <c r="DNF34" s="228"/>
      <c r="DNG34" s="228"/>
      <c r="DNH34" s="228"/>
      <c r="DNI34" s="228"/>
      <c r="DNJ34" s="228"/>
      <c r="DNK34" s="228"/>
      <c r="DNL34" s="228"/>
      <c r="DNM34" s="228"/>
      <c r="DNN34" s="228"/>
      <c r="DNO34" s="228"/>
      <c r="DNP34" s="228"/>
      <c r="DNQ34" s="228"/>
      <c r="DNR34" s="228"/>
      <c r="DNS34" s="228"/>
      <c r="DNT34" s="228"/>
      <c r="DNU34" s="228"/>
      <c r="DNV34" s="228"/>
      <c r="DNW34" s="228"/>
      <c r="DNX34" s="228"/>
      <c r="DNY34" s="228"/>
      <c r="DNZ34" s="228"/>
      <c r="DOA34" s="228"/>
      <c r="DOB34" s="228"/>
      <c r="DOC34" s="228"/>
      <c r="DOD34" s="228"/>
      <c r="DOE34" s="228"/>
      <c r="DOF34" s="228"/>
      <c r="DOG34" s="228"/>
      <c r="DOH34" s="228"/>
      <c r="DOI34" s="228"/>
      <c r="DOJ34" s="228"/>
      <c r="DOK34" s="228"/>
      <c r="DOL34" s="228"/>
      <c r="DOM34" s="228"/>
      <c r="DON34" s="228"/>
      <c r="DOO34" s="228"/>
      <c r="DOP34" s="228"/>
      <c r="DOQ34" s="228"/>
      <c r="DOR34" s="228"/>
      <c r="DOS34" s="228"/>
      <c r="DOT34" s="228"/>
      <c r="DOU34" s="228"/>
      <c r="DOV34" s="228"/>
      <c r="DOW34" s="228"/>
      <c r="DOX34" s="228"/>
      <c r="DOY34" s="228"/>
      <c r="DOZ34" s="228"/>
      <c r="DPA34" s="228"/>
      <c r="DPB34" s="228"/>
      <c r="DPC34" s="228"/>
      <c r="DPD34" s="228"/>
      <c r="DPE34" s="228"/>
      <c r="DPF34" s="228"/>
      <c r="DPG34" s="228"/>
      <c r="DPH34" s="228"/>
      <c r="DPI34" s="228"/>
      <c r="DPJ34" s="228"/>
      <c r="DPK34" s="228"/>
      <c r="DPL34" s="228"/>
      <c r="DPM34" s="228"/>
      <c r="DPN34" s="228"/>
      <c r="DPO34" s="228"/>
      <c r="DPP34" s="228"/>
      <c r="DPQ34" s="228"/>
      <c r="DPR34" s="228"/>
      <c r="DPS34" s="228"/>
      <c r="DPT34" s="228"/>
      <c r="DPU34" s="228"/>
      <c r="DPV34" s="228"/>
      <c r="DPW34" s="228"/>
      <c r="DPX34" s="228"/>
      <c r="DPY34" s="228"/>
      <c r="DPZ34" s="228"/>
      <c r="DQA34" s="228"/>
      <c r="DQB34" s="228"/>
      <c r="DQC34" s="228"/>
      <c r="DQD34" s="228"/>
      <c r="DQE34" s="228"/>
      <c r="DQF34" s="228"/>
      <c r="DQG34" s="228"/>
      <c r="DQH34" s="228"/>
      <c r="DQI34" s="228"/>
      <c r="DQJ34" s="228"/>
      <c r="DQK34" s="228"/>
      <c r="DQL34" s="228"/>
      <c r="DQM34" s="228"/>
      <c r="DQN34" s="228"/>
      <c r="DQO34" s="228"/>
      <c r="DQP34" s="228"/>
      <c r="DQQ34" s="228"/>
      <c r="DQR34" s="228"/>
      <c r="DQS34" s="228"/>
      <c r="DQT34" s="228"/>
      <c r="DQU34" s="228"/>
      <c r="DQV34" s="228"/>
      <c r="DQW34" s="228"/>
      <c r="DQX34" s="228"/>
      <c r="DQY34" s="228"/>
      <c r="DQZ34" s="228"/>
      <c r="DRA34" s="228"/>
      <c r="DRB34" s="228"/>
      <c r="DRC34" s="228"/>
      <c r="DRD34" s="228"/>
      <c r="DRE34" s="228"/>
      <c r="DRF34" s="228"/>
      <c r="DRG34" s="228"/>
      <c r="DRH34" s="228"/>
      <c r="DRI34" s="228"/>
      <c r="DRJ34" s="228"/>
      <c r="DRK34" s="228"/>
      <c r="DRL34" s="228"/>
      <c r="DRM34" s="228"/>
      <c r="DRN34" s="228"/>
      <c r="DRO34" s="228"/>
      <c r="DRP34" s="228"/>
      <c r="DRQ34" s="228"/>
      <c r="DRR34" s="228"/>
      <c r="DRS34" s="228"/>
      <c r="DRT34" s="228"/>
      <c r="DRU34" s="228"/>
      <c r="DRV34" s="228"/>
      <c r="DRW34" s="228"/>
      <c r="DRX34" s="228"/>
      <c r="DRY34" s="228"/>
      <c r="DRZ34" s="228"/>
      <c r="DSA34" s="228"/>
      <c r="DSB34" s="228"/>
      <c r="DSC34" s="228"/>
      <c r="DSD34" s="228"/>
      <c r="DSE34" s="228"/>
      <c r="DSF34" s="228"/>
      <c r="DSG34" s="228"/>
      <c r="DSH34" s="228"/>
      <c r="DSI34" s="228"/>
      <c r="DSJ34" s="228"/>
      <c r="DSK34" s="228"/>
      <c r="DSL34" s="228"/>
      <c r="DSM34" s="228"/>
      <c r="DSN34" s="228"/>
      <c r="DSO34" s="228"/>
      <c r="DSP34" s="228"/>
      <c r="DSQ34" s="228"/>
      <c r="DSR34" s="228"/>
      <c r="DSS34" s="228"/>
      <c r="DST34" s="228"/>
      <c r="DSU34" s="228"/>
      <c r="DSV34" s="228"/>
      <c r="DSW34" s="228"/>
      <c r="DSX34" s="228"/>
      <c r="DSY34" s="228"/>
      <c r="DSZ34" s="228"/>
      <c r="DTA34" s="228"/>
      <c r="DTB34" s="228"/>
      <c r="DTC34" s="228"/>
      <c r="DTD34" s="228"/>
      <c r="DTE34" s="228"/>
      <c r="DTF34" s="228"/>
      <c r="DTG34" s="228"/>
      <c r="DTH34" s="228"/>
      <c r="DTI34" s="228"/>
      <c r="DTJ34" s="228"/>
      <c r="DTK34" s="228"/>
      <c r="DTL34" s="228"/>
      <c r="DTM34" s="228"/>
      <c r="DTN34" s="228"/>
      <c r="DTO34" s="228"/>
      <c r="DTP34" s="228"/>
      <c r="DTQ34" s="228"/>
      <c r="DTR34" s="228"/>
      <c r="DTS34" s="228"/>
      <c r="DTT34" s="228"/>
      <c r="DTU34" s="228"/>
      <c r="DTV34" s="228"/>
      <c r="DTW34" s="228"/>
      <c r="DTX34" s="228"/>
      <c r="DTY34" s="228"/>
      <c r="DTZ34" s="228"/>
      <c r="DUA34" s="228"/>
      <c r="DUB34" s="228"/>
      <c r="DUC34" s="228"/>
      <c r="DUD34" s="228"/>
      <c r="DUE34" s="228"/>
      <c r="DUF34" s="228"/>
      <c r="DUG34" s="228"/>
      <c r="DUH34" s="228"/>
      <c r="DUI34" s="228"/>
      <c r="DUJ34" s="228"/>
      <c r="DUK34" s="228"/>
      <c r="DUL34" s="228"/>
      <c r="DUM34" s="228"/>
      <c r="DUN34" s="228"/>
      <c r="DUO34" s="228"/>
      <c r="DUP34" s="228"/>
      <c r="DUQ34" s="228"/>
      <c r="DUR34" s="228"/>
      <c r="DUS34" s="228"/>
      <c r="DUT34" s="228"/>
      <c r="DUU34" s="228"/>
      <c r="DUV34" s="228"/>
      <c r="DUW34" s="228"/>
      <c r="DUX34" s="228"/>
      <c r="DUY34" s="228"/>
      <c r="DUZ34" s="228"/>
      <c r="DVA34" s="228"/>
      <c r="DVB34" s="228"/>
      <c r="DVC34" s="228"/>
      <c r="DVD34" s="228"/>
      <c r="DVE34" s="228"/>
      <c r="DVF34" s="228"/>
      <c r="DVG34" s="228"/>
      <c r="DVH34" s="228"/>
      <c r="DVI34" s="228"/>
      <c r="DVJ34" s="228"/>
      <c r="DVK34" s="228"/>
      <c r="DVL34" s="228"/>
      <c r="DVM34" s="228"/>
      <c r="DVN34" s="228"/>
      <c r="DVO34" s="228"/>
      <c r="DVP34" s="228"/>
      <c r="DVQ34" s="228"/>
      <c r="DVR34" s="228"/>
      <c r="DVS34" s="228"/>
      <c r="DVT34" s="228"/>
      <c r="DVU34" s="228"/>
      <c r="DVV34" s="228"/>
      <c r="DVW34" s="228"/>
      <c r="DVX34" s="228"/>
      <c r="DVY34" s="228"/>
      <c r="DVZ34" s="228"/>
      <c r="DWA34" s="228"/>
      <c r="DWB34" s="228"/>
      <c r="DWC34" s="228"/>
      <c r="DWD34" s="228"/>
      <c r="DWE34" s="228"/>
      <c r="DWF34" s="228"/>
      <c r="DWG34" s="228"/>
      <c r="DWH34" s="228"/>
      <c r="DWI34" s="228"/>
      <c r="DWJ34" s="228"/>
      <c r="DWK34" s="228"/>
      <c r="DWL34" s="228"/>
      <c r="DWM34" s="228"/>
      <c r="DWN34" s="228"/>
      <c r="DWO34" s="228"/>
      <c r="DWP34" s="228"/>
      <c r="DWQ34" s="228"/>
      <c r="DWR34" s="228"/>
      <c r="DWS34" s="228"/>
      <c r="DWT34" s="228"/>
      <c r="DWU34" s="228"/>
      <c r="DWV34" s="228"/>
      <c r="DWW34" s="228"/>
      <c r="DWX34" s="228"/>
      <c r="DWY34" s="228"/>
      <c r="DWZ34" s="228"/>
      <c r="DXA34" s="228"/>
      <c r="DXB34" s="228"/>
      <c r="DXC34" s="228"/>
      <c r="DXD34" s="228"/>
      <c r="DXE34" s="228"/>
      <c r="DXF34" s="228"/>
      <c r="DXG34" s="228"/>
      <c r="DXH34" s="228"/>
      <c r="DXI34" s="228"/>
      <c r="DXJ34" s="228"/>
      <c r="DXK34" s="228"/>
      <c r="DXL34" s="228"/>
      <c r="DXM34" s="228"/>
      <c r="DXN34" s="228"/>
      <c r="DXO34" s="228"/>
      <c r="DXP34" s="228"/>
      <c r="DXQ34" s="228"/>
      <c r="DXR34" s="228"/>
      <c r="DXS34" s="228"/>
      <c r="DXT34" s="228"/>
      <c r="DXU34" s="228"/>
      <c r="DXV34" s="228"/>
      <c r="DXW34" s="228"/>
      <c r="DXX34" s="228"/>
      <c r="DXY34" s="228"/>
      <c r="DXZ34" s="228"/>
      <c r="DYA34" s="228"/>
      <c r="DYB34" s="228"/>
      <c r="DYC34" s="228"/>
      <c r="DYD34" s="228"/>
      <c r="DYE34" s="228"/>
      <c r="DYF34" s="228"/>
      <c r="DYG34" s="228"/>
      <c r="DYH34" s="228"/>
      <c r="DYI34" s="228"/>
      <c r="DYJ34" s="228"/>
      <c r="DYK34" s="228"/>
      <c r="DYL34" s="228"/>
      <c r="DYM34" s="228"/>
      <c r="DYN34" s="228"/>
      <c r="DYO34" s="228"/>
      <c r="DYP34" s="228"/>
      <c r="DYQ34" s="228"/>
      <c r="DYR34" s="228"/>
      <c r="DYS34" s="228"/>
      <c r="DYT34" s="228"/>
      <c r="DYU34" s="228"/>
      <c r="DYV34" s="228"/>
      <c r="DYW34" s="228"/>
      <c r="DYX34" s="228"/>
      <c r="DYY34" s="228"/>
      <c r="DYZ34" s="228"/>
      <c r="DZA34" s="228"/>
      <c r="DZB34" s="228"/>
      <c r="DZC34" s="228"/>
      <c r="DZD34" s="228"/>
      <c r="DZE34" s="228"/>
      <c r="DZF34" s="228"/>
      <c r="DZG34" s="228"/>
      <c r="DZH34" s="228"/>
      <c r="DZI34" s="228"/>
      <c r="DZJ34" s="228"/>
      <c r="DZK34" s="228"/>
      <c r="DZL34" s="228"/>
      <c r="DZM34" s="228"/>
      <c r="DZN34" s="228"/>
      <c r="DZO34" s="228"/>
      <c r="DZP34" s="228"/>
      <c r="DZQ34" s="228"/>
      <c r="DZR34" s="228"/>
      <c r="DZS34" s="228"/>
      <c r="DZT34" s="228"/>
      <c r="DZU34" s="228"/>
      <c r="DZV34" s="228"/>
      <c r="DZW34" s="228"/>
      <c r="DZX34" s="228"/>
      <c r="DZY34" s="228"/>
      <c r="DZZ34" s="228"/>
      <c r="EAA34" s="228"/>
      <c r="EAB34" s="228"/>
      <c r="EAC34" s="228"/>
      <c r="EAD34" s="228"/>
      <c r="EAE34" s="228"/>
      <c r="EAF34" s="228"/>
      <c r="EAG34" s="228"/>
      <c r="EAH34" s="228"/>
      <c r="EAI34" s="228"/>
      <c r="EAJ34" s="228"/>
      <c r="EAK34" s="228"/>
      <c r="EAL34" s="228"/>
      <c r="EAM34" s="228"/>
      <c r="EAN34" s="228"/>
      <c r="EAO34" s="228"/>
      <c r="EAP34" s="228"/>
      <c r="EAQ34" s="228"/>
      <c r="EAR34" s="228"/>
      <c r="EAS34" s="228"/>
      <c r="EAT34" s="228"/>
      <c r="EAU34" s="228"/>
      <c r="EAV34" s="228"/>
      <c r="EAW34" s="228"/>
      <c r="EAX34" s="228"/>
      <c r="EAY34" s="228"/>
      <c r="EAZ34" s="228"/>
      <c r="EBA34" s="228"/>
      <c r="EBB34" s="228"/>
      <c r="EBC34" s="228"/>
      <c r="EBD34" s="228"/>
      <c r="EBE34" s="228"/>
      <c r="EBF34" s="228"/>
      <c r="EBG34" s="228"/>
      <c r="EBH34" s="228"/>
      <c r="EBI34" s="228"/>
      <c r="EBJ34" s="228"/>
      <c r="EBK34" s="228"/>
      <c r="EBL34" s="228"/>
      <c r="EBM34" s="228"/>
      <c r="EBN34" s="228"/>
      <c r="EBO34" s="228"/>
      <c r="EBP34" s="228"/>
      <c r="EBQ34" s="228"/>
      <c r="EBR34" s="228"/>
      <c r="EBS34" s="228"/>
      <c r="EBT34" s="228"/>
      <c r="EBU34" s="228"/>
      <c r="EBV34" s="228"/>
      <c r="EBW34" s="228"/>
      <c r="EBX34" s="228"/>
      <c r="EBY34" s="228"/>
      <c r="EBZ34" s="228"/>
      <c r="ECA34" s="228"/>
      <c r="ECB34" s="228"/>
      <c r="ECC34" s="228"/>
      <c r="ECD34" s="228"/>
      <c r="ECE34" s="228"/>
      <c r="ECF34" s="228"/>
      <c r="ECG34" s="228"/>
      <c r="ECH34" s="228"/>
      <c r="ECI34" s="228"/>
      <c r="ECJ34" s="228"/>
      <c r="ECK34" s="228"/>
      <c r="ECL34" s="228"/>
      <c r="ECM34" s="228"/>
      <c r="ECN34" s="228"/>
      <c r="ECO34" s="228"/>
      <c r="ECP34" s="228"/>
      <c r="ECQ34" s="228"/>
      <c r="ECR34" s="228"/>
      <c r="ECS34" s="228"/>
      <c r="ECT34" s="228"/>
      <c r="ECU34" s="228"/>
      <c r="ECV34" s="228"/>
      <c r="ECW34" s="228"/>
      <c r="ECX34" s="228"/>
      <c r="ECY34" s="228"/>
      <c r="ECZ34" s="228"/>
      <c r="EDA34" s="228"/>
      <c r="EDB34" s="228"/>
      <c r="EDC34" s="228"/>
      <c r="EDD34" s="228"/>
      <c r="EDE34" s="228"/>
      <c r="EDF34" s="228"/>
      <c r="EDG34" s="228"/>
      <c r="EDH34" s="228"/>
      <c r="EDI34" s="228"/>
      <c r="EDJ34" s="228"/>
      <c r="EDK34" s="228"/>
      <c r="EDL34" s="228"/>
      <c r="EDM34" s="228"/>
      <c r="EDN34" s="228"/>
      <c r="EDO34" s="228"/>
      <c r="EDP34" s="228"/>
      <c r="EDQ34" s="228"/>
      <c r="EDR34" s="228"/>
      <c r="EDS34" s="228"/>
      <c r="EDT34" s="228"/>
      <c r="EDU34" s="228"/>
      <c r="EDV34" s="228"/>
      <c r="EDW34" s="228"/>
      <c r="EDX34" s="228"/>
      <c r="EDY34" s="228"/>
      <c r="EDZ34" s="228"/>
      <c r="EEA34" s="228"/>
      <c r="EEB34" s="228"/>
      <c r="EEC34" s="228"/>
      <c r="EED34" s="228"/>
      <c r="EEE34" s="228"/>
      <c r="EEF34" s="228"/>
      <c r="EEG34" s="228"/>
      <c r="EEH34" s="228"/>
      <c r="EEI34" s="228"/>
      <c r="EEJ34" s="228"/>
      <c r="EEK34" s="228"/>
      <c r="EEL34" s="228"/>
      <c r="EEM34" s="228"/>
      <c r="EEN34" s="228"/>
      <c r="EEO34" s="228"/>
      <c r="EEP34" s="228"/>
      <c r="EEQ34" s="228"/>
      <c r="EER34" s="228"/>
      <c r="EES34" s="228"/>
      <c r="EET34" s="228"/>
      <c r="EEU34" s="228"/>
      <c r="EEV34" s="228"/>
      <c r="EEW34" s="228"/>
      <c r="EEX34" s="228"/>
      <c r="EEY34" s="228"/>
      <c r="EEZ34" s="228"/>
      <c r="EFA34" s="228"/>
      <c r="EFB34" s="228"/>
      <c r="EFC34" s="228"/>
      <c r="EFD34" s="228"/>
      <c r="EFE34" s="228"/>
      <c r="EFF34" s="228"/>
      <c r="EFG34" s="228"/>
      <c r="EFH34" s="228"/>
      <c r="EFI34" s="228"/>
      <c r="EFJ34" s="228"/>
      <c r="EFK34" s="228"/>
      <c r="EFL34" s="228"/>
      <c r="EFM34" s="228"/>
      <c r="EFN34" s="228"/>
      <c r="EFO34" s="228"/>
      <c r="EFP34" s="228"/>
      <c r="EFQ34" s="228"/>
      <c r="EFR34" s="228"/>
      <c r="EFS34" s="228"/>
      <c r="EFT34" s="228"/>
      <c r="EFU34" s="228"/>
      <c r="EFV34" s="228"/>
      <c r="EFW34" s="228"/>
      <c r="EFX34" s="228"/>
      <c r="EFY34" s="228"/>
      <c r="EFZ34" s="228"/>
      <c r="EGA34" s="228"/>
      <c r="EGB34" s="228"/>
      <c r="EGC34" s="228"/>
      <c r="EGD34" s="228"/>
      <c r="EGE34" s="228"/>
      <c r="EGF34" s="228"/>
      <c r="EGG34" s="228"/>
      <c r="EGH34" s="228"/>
      <c r="EGI34" s="228"/>
      <c r="EGJ34" s="228"/>
      <c r="EGK34" s="228"/>
      <c r="EGL34" s="228"/>
      <c r="EGM34" s="228"/>
      <c r="EGN34" s="228"/>
      <c r="EGO34" s="228"/>
      <c r="EGP34" s="228"/>
      <c r="EGQ34" s="228"/>
      <c r="EGR34" s="228"/>
      <c r="EGS34" s="228"/>
      <c r="EGT34" s="228"/>
      <c r="EGU34" s="228"/>
      <c r="EGV34" s="228"/>
      <c r="EGW34" s="228"/>
      <c r="EGX34" s="228"/>
      <c r="EGY34" s="228"/>
      <c r="EGZ34" s="228"/>
      <c r="EHA34" s="228"/>
      <c r="EHB34" s="228"/>
      <c r="EHC34" s="228"/>
      <c r="EHD34" s="228"/>
      <c r="EHE34" s="228"/>
      <c r="EHF34" s="228"/>
      <c r="EHG34" s="228"/>
      <c r="EHH34" s="228"/>
      <c r="EHI34" s="228"/>
      <c r="EHJ34" s="228"/>
      <c r="EHK34" s="228"/>
      <c r="EHL34" s="228"/>
      <c r="EHM34" s="228"/>
      <c r="EHN34" s="228"/>
      <c r="EHO34" s="228"/>
      <c r="EHP34" s="228"/>
      <c r="EHQ34" s="228"/>
      <c r="EHR34" s="228"/>
      <c r="EHS34" s="228"/>
      <c r="EHT34" s="228"/>
      <c r="EHU34" s="228"/>
      <c r="EHV34" s="228"/>
      <c r="EHW34" s="228"/>
      <c r="EHX34" s="228"/>
      <c r="EHY34" s="228"/>
      <c r="EHZ34" s="228"/>
      <c r="EIA34" s="228"/>
      <c r="EIB34" s="228"/>
      <c r="EIC34" s="228"/>
      <c r="EID34" s="228"/>
      <c r="EIE34" s="228"/>
      <c r="EIF34" s="228"/>
      <c r="EIG34" s="228"/>
      <c r="EIH34" s="228"/>
      <c r="EII34" s="228"/>
      <c r="EIJ34" s="228"/>
      <c r="EIK34" s="228"/>
      <c r="EIL34" s="228"/>
      <c r="EIM34" s="228"/>
      <c r="EIN34" s="228"/>
      <c r="EIO34" s="228"/>
      <c r="EIP34" s="228"/>
      <c r="EIQ34" s="228"/>
      <c r="EIR34" s="228"/>
      <c r="EIS34" s="228"/>
      <c r="EIT34" s="228"/>
      <c r="EIU34" s="228"/>
      <c r="EIV34" s="228"/>
      <c r="EIW34" s="228"/>
      <c r="EIX34" s="228"/>
      <c r="EIY34" s="228"/>
      <c r="EIZ34" s="228"/>
      <c r="EJA34" s="228"/>
      <c r="EJB34" s="228"/>
      <c r="EJC34" s="228"/>
      <c r="EJD34" s="228"/>
      <c r="EJE34" s="228"/>
      <c r="EJF34" s="228"/>
      <c r="EJG34" s="228"/>
      <c r="EJH34" s="228"/>
      <c r="EJI34" s="228"/>
      <c r="EJJ34" s="228"/>
      <c r="EJK34" s="228"/>
      <c r="EJL34" s="228"/>
      <c r="EJM34" s="228"/>
      <c r="EJN34" s="228"/>
      <c r="EJO34" s="228"/>
      <c r="EJP34" s="228"/>
      <c r="EJQ34" s="228"/>
      <c r="EJR34" s="228"/>
      <c r="EJS34" s="228"/>
      <c r="EJT34" s="228"/>
      <c r="EJU34" s="228"/>
      <c r="EJV34" s="228"/>
      <c r="EJW34" s="228"/>
      <c r="EJX34" s="228"/>
      <c r="EJY34" s="228"/>
      <c r="EJZ34" s="228"/>
      <c r="EKA34" s="228"/>
      <c r="EKB34" s="228"/>
      <c r="EKC34" s="228"/>
      <c r="EKD34" s="228"/>
      <c r="EKE34" s="228"/>
      <c r="EKF34" s="228"/>
      <c r="EKG34" s="228"/>
      <c r="EKH34" s="228"/>
      <c r="EKI34" s="228"/>
      <c r="EKJ34" s="228"/>
      <c r="EKK34" s="228"/>
      <c r="EKL34" s="228"/>
      <c r="EKM34" s="228"/>
      <c r="EKN34" s="228"/>
      <c r="EKO34" s="228"/>
      <c r="EKP34" s="228"/>
      <c r="EKQ34" s="228"/>
      <c r="EKR34" s="228"/>
      <c r="EKS34" s="228"/>
      <c r="EKT34" s="228"/>
      <c r="EKU34" s="228"/>
      <c r="EKV34" s="228"/>
      <c r="EKW34" s="228"/>
      <c r="EKX34" s="228"/>
      <c r="EKY34" s="228"/>
      <c r="EKZ34" s="228"/>
      <c r="ELA34" s="228"/>
      <c r="ELB34" s="228"/>
      <c r="ELC34" s="228"/>
      <c r="ELD34" s="228"/>
      <c r="ELE34" s="228"/>
      <c r="ELF34" s="228"/>
      <c r="ELG34" s="228"/>
      <c r="ELH34" s="228"/>
      <c r="ELI34" s="228"/>
      <c r="ELJ34" s="228"/>
      <c r="ELK34" s="228"/>
      <c r="ELL34" s="228"/>
      <c r="ELM34" s="228"/>
      <c r="ELN34" s="228"/>
      <c r="ELO34" s="228"/>
      <c r="ELP34" s="228"/>
      <c r="ELQ34" s="228"/>
      <c r="ELR34" s="228"/>
      <c r="ELS34" s="228"/>
      <c r="ELT34" s="228"/>
      <c r="ELU34" s="228"/>
      <c r="ELV34" s="228"/>
      <c r="ELW34" s="228"/>
      <c r="ELX34" s="228"/>
      <c r="ELY34" s="228"/>
      <c r="ELZ34" s="228"/>
      <c r="EMA34" s="228"/>
      <c r="EMB34" s="228"/>
      <c r="EMC34" s="228"/>
      <c r="EMD34" s="228"/>
      <c r="EME34" s="228"/>
      <c r="EMF34" s="228"/>
      <c r="EMG34" s="228"/>
      <c r="EMH34" s="228"/>
      <c r="EMI34" s="228"/>
      <c r="EMJ34" s="228"/>
      <c r="EMK34" s="228"/>
      <c r="EML34" s="228"/>
      <c r="EMM34" s="228"/>
      <c r="EMN34" s="228"/>
      <c r="EMO34" s="228"/>
      <c r="EMP34" s="228"/>
      <c r="EMQ34" s="228"/>
      <c r="EMR34" s="228"/>
      <c r="EMS34" s="228"/>
      <c r="EMT34" s="228"/>
      <c r="EMU34" s="228"/>
      <c r="EMV34" s="228"/>
      <c r="EMW34" s="228"/>
      <c r="EMX34" s="228"/>
      <c r="EMY34" s="228"/>
      <c r="EMZ34" s="228"/>
      <c r="ENA34" s="228"/>
      <c r="ENB34" s="228"/>
      <c r="ENC34" s="228"/>
      <c r="END34" s="228"/>
      <c r="ENE34" s="228"/>
      <c r="ENF34" s="228"/>
      <c r="ENG34" s="228"/>
      <c r="ENH34" s="228"/>
      <c r="ENI34" s="228"/>
      <c r="ENJ34" s="228"/>
      <c r="ENK34" s="228"/>
      <c r="ENL34" s="228"/>
      <c r="ENM34" s="228"/>
      <c r="ENN34" s="228"/>
      <c r="ENO34" s="228"/>
      <c r="ENP34" s="228"/>
      <c r="ENQ34" s="228"/>
      <c r="ENR34" s="228"/>
      <c r="ENS34" s="228"/>
      <c r="ENT34" s="228"/>
      <c r="ENU34" s="228"/>
      <c r="ENV34" s="228"/>
      <c r="ENW34" s="228"/>
      <c r="ENX34" s="228"/>
      <c r="ENY34" s="228"/>
      <c r="ENZ34" s="228"/>
      <c r="EOA34" s="228"/>
      <c r="EOB34" s="228"/>
      <c r="EOC34" s="228"/>
      <c r="EOD34" s="228"/>
      <c r="EOE34" s="228"/>
      <c r="EOF34" s="228"/>
      <c r="EOG34" s="228"/>
      <c r="EOH34" s="228"/>
      <c r="EOI34" s="228"/>
      <c r="EOJ34" s="228"/>
      <c r="EOK34" s="228"/>
      <c r="EOL34" s="228"/>
      <c r="EOM34" s="228"/>
      <c r="EON34" s="228"/>
      <c r="EOO34" s="228"/>
      <c r="EOP34" s="228"/>
      <c r="EOQ34" s="228"/>
      <c r="EOR34" s="228"/>
      <c r="EOS34" s="228"/>
      <c r="EOT34" s="228"/>
      <c r="EOU34" s="228"/>
      <c r="EOV34" s="228"/>
      <c r="EOW34" s="228"/>
      <c r="EOX34" s="228"/>
      <c r="EOY34" s="228"/>
      <c r="EOZ34" s="228"/>
      <c r="EPA34" s="228"/>
      <c r="EPB34" s="228"/>
      <c r="EPC34" s="228"/>
      <c r="EPD34" s="228"/>
      <c r="EPE34" s="228"/>
      <c r="EPF34" s="228"/>
      <c r="EPG34" s="228"/>
      <c r="EPH34" s="228"/>
      <c r="EPI34" s="228"/>
      <c r="EPJ34" s="228"/>
      <c r="EPK34" s="228"/>
      <c r="EPL34" s="228"/>
      <c r="EPM34" s="228"/>
      <c r="EPN34" s="228"/>
      <c r="EPO34" s="228"/>
      <c r="EPP34" s="228"/>
      <c r="EPQ34" s="228"/>
      <c r="EPR34" s="228"/>
      <c r="EPS34" s="228"/>
      <c r="EPT34" s="228"/>
      <c r="EPU34" s="228"/>
      <c r="EPV34" s="228"/>
      <c r="EPW34" s="228"/>
      <c r="EPX34" s="228"/>
      <c r="EPY34" s="228"/>
      <c r="EPZ34" s="228"/>
      <c r="EQA34" s="228"/>
      <c r="EQB34" s="228"/>
      <c r="EQC34" s="228"/>
      <c r="EQD34" s="228"/>
      <c r="EQE34" s="228"/>
      <c r="EQF34" s="228"/>
      <c r="EQG34" s="228"/>
      <c r="EQH34" s="228"/>
      <c r="EQI34" s="228"/>
      <c r="EQJ34" s="228"/>
      <c r="EQK34" s="228"/>
      <c r="EQL34" s="228"/>
      <c r="EQM34" s="228"/>
      <c r="EQN34" s="228"/>
      <c r="EQO34" s="228"/>
      <c r="EQP34" s="228"/>
      <c r="EQQ34" s="228"/>
      <c r="EQR34" s="228"/>
      <c r="EQS34" s="228"/>
      <c r="EQT34" s="228"/>
      <c r="EQU34" s="228"/>
      <c r="EQV34" s="228"/>
      <c r="EQW34" s="228"/>
      <c r="EQX34" s="228"/>
      <c r="EQY34" s="228"/>
      <c r="EQZ34" s="228"/>
      <c r="ERA34" s="228"/>
      <c r="ERB34" s="228"/>
      <c r="ERC34" s="228"/>
      <c r="ERD34" s="228"/>
      <c r="ERE34" s="228"/>
      <c r="ERF34" s="228"/>
      <c r="ERG34" s="228"/>
      <c r="ERH34" s="228"/>
      <c r="ERI34" s="228"/>
      <c r="ERJ34" s="228"/>
      <c r="ERK34" s="228"/>
      <c r="ERL34" s="228"/>
      <c r="ERM34" s="228"/>
      <c r="ERN34" s="228"/>
      <c r="ERO34" s="228"/>
      <c r="ERP34" s="228"/>
      <c r="ERQ34" s="228"/>
      <c r="ERR34" s="228"/>
      <c r="ERS34" s="228"/>
      <c r="ERT34" s="228"/>
      <c r="ERU34" s="228"/>
      <c r="ERV34" s="228"/>
      <c r="ERW34" s="228"/>
      <c r="ERX34" s="228"/>
      <c r="ERY34" s="228"/>
      <c r="ERZ34" s="228"/>
      <c r="ESA34" s="228"/>
      <c r="ESB34" s="228"/>
      <c r="ESC34" s="228"/>
      <c r="ESD34" s="228"/>
      <c r="ESE34" s="228"/>
      <c r="ESF34" s="228"/>
      <c r="ESG34" s="228"/>
      <c r="ESH34" s="228"/>
      <c r="ESI34" s="228"/>
      <c r="ESJ34" s="228"/>
      <c r="ESK34" s="228"/>
      <c r="ESL34" s="228"/>
      <c r="ESM34" s="228"/>
      <c r="ESN34" s="228"/>
      <c r="ESO34" s="228"/>
      <c r="ESP34" s="228"/>
      <c r="ESQ34" s="228"/>
      <c r="ESR34" s="228"/>
      <c r="ESS34" s="228"/>
      <c r="EST34" s="228"/>
      <c r="ESU34" s="228"/>
      <c r="ESV34" s="228"/>
      <c r="ESW34" s="228"/>
      <c r="ESX34" s="228"/>
      <c r="ESY34" s="228"/>
      <c r="ESZ34" s="228"/>
      <c r="ETA34" s="228"/>
      <c r="ETB34" s="228"/>
      <c r="ETC34" s="228"/>
      <c r="ETD34" s="228"/>
      <c r="ETE34" s="228"/>
      <c r="ETF34" s="228"/>
      <c r="ETG34" s="228"/>
      <c r="ETH34" s="228"/>
      <c r="ETI34" s="228"/>
      <c r="ETJ34" s="228"/>
      <c r="ETK34" s="228"/>
      <c r="ETL34" s="228"/>
      <c r="ETM34" s="228"/>
      <c r="ETN34" s="228"/>
      <c r="ETO34" s="228"/>
      <c r="ETP34" s="228"/>
      <c r="ETQ34" s="228"/>
      <c r="ETR34" s="228"/>
      <c r="ETS34" s="228"/>
      <c r="ETT34" s="228"/>
      <c r="ETU34" s="228"/>
      <c r="ETV34" s="228"/>
      <c r="ETW34" s="228"/>
      <c r="ETX34" s="228"/>
      <c r="ETY34" s="228"/>
      <c r="ETZ34" s="228"/>
      <c r="EUA34" s="228"/>
      <c r="EUB34" s="228"/>
      <c r="EUC34" s="228"/>
      <c r="EUD34" s="228"/>
      <c r="EUE34" s="228"/>
      <c r="EUF34" s="228"/>
      <c r="EUG34" s="228"/>
      <c r="EUH34" s="228"/>
      <c r="EUI34" s="228"/>
      <c r="EUJ34" s="228"/>
      <c r="EUK34" s="228"/>
      <c r="EUL34" s="228"/>
      <c r="EUM34" s="228"/>
      <c r="EUN34" s="228"/>
      <c r="EUO34" s="228"/>
      <c r="EUP34" s="228"/>
      <c r="EUQ34" s="228"/>
      <c r="EUR34" s="228"/>
      <c r="EUS34" s="228"/>
      <c r="EUT34" s="228"/>
      <c r="EUU34" s="228"/>
      <c r="EUV34" s="228"/>
      <c r="EUW34" s="228"/>
      <c r="EUX34" s="228"/>
      <c r="EUY34" s="228"/>
      <c r="EUZ34" s="228"/>
      <c r="EVA34" s="228"/>
      <c r="EVB34" s="228"/>
      <c r="EVC34" s="228"/>
      <c r="EVD34" s="228"/>
      <c r="EVE34" s="228"/>
      <c r="EVF34" s="228"/>
      <c r="EVG34" s="228"/>
      <c r="EVH34" s="228"/>
      <c r="EVI34" s="228"/>
      <c r="EVJ34" s="228"/>
      <c r="EVK34" s="228"/>
      <c r="EVL34" s="228"/>
      <c r="EVM34" s="228"/>
      <c r="EVN34" s="228"/>
      <c r="EVO34" s="228"/>
      <c r="EVP34" s="228"/>
      <c r="EVQ34" s="228"/>
      <c r="EVR34" s="228"/>
      <c r="EVS34" s="228"/>
      <c r="EVT34" s="228"/>
      <c r="EVU34" s="228"/>
      <c r="EVV34" s="228"/>
      <c r="EVW34" s="228"/>
      <c r="EVX34" s="228"/>
      <c r="EVY34" s="228"/>
      <c r="EVZ34" s="228"/>
      <c r="EWA34" s="228"/>
      <c r="EWB34" s="228"/>
      <c r="EWC34" s="228"/>
      <c r="EWD34" s="228"/>
      <c r="EWE34" s="228"/>
      <c r="EWF34" s="228"/>
      <c r="EWG34" s="228"/>
      <c r="EWH34" s="228"/>
      <c r="EWI34" s="228"/>
      <c r="EWJ34" s="228"/>
      <c r="EWK34" s="228"/>
      <c r="EWL34" s="228"/>
      <c r="EWM34" s="228"/>
      <c r="EWN34" s="228"/>
      <c r="EWO34" s="228"/>
      <c r="EWP34" s="228"/>
      <c r="EWQ34" s="228"/>
      <c r="EWR34" s="228"/>
      <c r="EWS34" s="228"/>
      <c r="EWT34" s="228"/>
      <c r="EWU34" s="228"/>
      <c r="EWV34" s="228"/>
      <c r="EWW34" s="228"/>
      <c r="EWX34" s="228"/>
      <c r="EWY34" s="228"/>
      <c r="EWZ34" s="228"/>
      <c r="EXA34" s="228"/>
      <c r="EXB34" s="228"/>
      <c r="EXC34" s="228"/>
      <c r="EXD34" s="228"/>
      <c r="EXE34" s="228"/>
      <c r="EXF34" s="228"/>
      <c r="EXG34" s="228"/>
      <c r="EXH34" s="228"/>
      <c r="EXI34" s="228"/>
      <c r="EXJ34" s="228"/>
      <c r="EXK34" s="228"/>
      <c r="EXL34" s="228"/>
      <c r="EXM34" s="228"/>
      <c r="EXN34" s="228"/>
      <c r="EXO34" s="228"/>
      <c r="EXP34" s="228"/>
      <c r="EXQ34" s="228"/>
      <c r="EXR34" s="228"/>
      <c r="EXS34" s="228"/>
      <c r="EXT34" s="228"/>
      <c r="EXU34" s="228"/>
      <c r="EXV34" s="228"/>
      <c r="EXW34" s="228"/>
      <c r="EXX34" s="228"/>
      <c r="EXY34" s="228"/>
      <c r="EXZ34" s="228"/>
      <c r="EYA34" s="228"/>
      <c r="EYB34" s="228"/>
      <c r="EYC34" s="228"/>
      <c r="EYD34" s="228"/>
      <c r="EYE34" s="228"/>
      <c r="EYF34" s="228"/>
      <c r="EYG34" s="228"/>
      <c r="EYH34" s="228"/>
      <c r="EYI34" s="228"/>
      <c r="EYJ34" s="228"/>
      <c r="EYK34" s="228"/>
      <c r="EYL34" s="228"/>
      <c r="EYM34" s="228"/>
      <c r="EYN34" s="228"/>
      <c r="EYO34" s="228"/>
      <c r="EYP34" s="228"/>
      <c r="EYQ34" s="228"/>
      <c r="EYR34" s="228"/>
      <c r="EYS34" s="228"/>
      <c r="EYT34" s="228"/>
      <c r="EYU34" s="228"/>
      <c r="EYV34" s="228"/>
      <c r="EYW34" s="228"/>
      <c r="EYX34" s="228"/>
      <c r="EYY34" s="228"/>
      <c r="EYZ34" s="228"/>
      <c r="EZA34" s="228"/>
      <c r="EZB34" s="228"/>
      <c r="EZC34" s="228"/>
      <c r="EZD34" s="228"/>
      <c r="EZE34" s="228"/>
      <c r="EZF34" s="228"/>
      <c r="EZG34" s="228"/>
      <c r="EZH34" s="228"/>
      <c r="EZI34" s="228"/>
      <c r="EZJ34" s="228"/>
      <c r="EZK34" s="228"/>
      <c r="EZL34" s="228"/>
      <c r="EZM34" s="228"/>
      <c r="EZN34" s="228"/>
      <c r="EZO34" s="228"/>
      <c r="EZP34" s="228"/>
      <c r="EZQ34" s="228"/>
      <c r="EZR34" s="228"/>
      <c r="EZS34" s="228"/>
      <c r="EZT34" s="228"/>
      <c r="EZU34" s="228"/>
      <c r="EZV34" s="228"/>
      <c r="EZW34" s="228"/>
      <c r="EZX34" s="228"/>
      <c r="EZY34" s="228"/>
      <c r="EZZ34" s="228"/>
      <c r="FAA34" s="228"/>
      <c r="FAB34" s="228"/>
      <c r="FAC34" s="228"/>
      <c r="FAD34" s="228"/>
      <c r="FAE34" s="228"/>
      <c r="FAF34" s="228"/>
      <c r="FAG34" s="228"/>
      <c r="FAH34" s="228"/>
      <c r="FAI34" s="228"/>
      <c r="FAJ34" s="228"/>
      <c r="FAK34" s="228"/>
      <c r="FAL34" s="228"/>
      <c r="FAM34" s="228"/>
      <c r="FAN34" s="228"/>
      <c r="FAO34" s="228"/>
      <c r="FAP34" s="228"/>
      <c r="FAQ34" s="228"/>
      <c r="FAR34" s="228"/>
      <c r="FAS34" s="228"/>
      <c r="FAT34" s="228"/>
      <c r="FAU34" s="228"/>
      <c r="FAV34" s="228"/>
      <c r="FAW34" s="228"/>
      <c r="FAX34" s="228"/>
      <c r="FAY34" s="228"/>
      <c r="FAZ34" s="228"/>
      <c r="FBA34" s="228"/>
      <c r="FBB34" s="228"/>
      <c r="FBC34" s="228"/>
      <c r="FBD34" s="228"/>
      <c r="FBE34" s="228"/>
      <c r="FBF34" s="228"/>
      <c r="FBG34" s="228"/>
      <c r="FBH34" s="228"/>
      <c r="FBI34" s="228"/>
      <c r="FBJ34" s="228"/>
      <c r="FBK34" s="228"/>
      <c r="FBL34" s="228"/>
      <c r="FBM34" s="228"/>
      <c r="FBN34" s="228"/>
      <c r="FBO34" s="228"/>
      <c r="FBP34" s="228"/>
      <c r="FBQ34" s="228"/>
      <c r="FBR34" s="228"/>
      <c r="FBS34" s="228"/>
      <c r="FBT34" s="228"/>
      <c r="FBU34" s="228"/>
      <c r="FBV34" s="228"/>
      <c r="FBW34" s="228"/>
      <c r="FBX34" s="228"/>
      <c r="FBY34" s="228"/>
      <c r="FBZ34" s="228"/>
      <c r="FCA34" s="228"/>
      <c r="FCB34" s="228"/>
      <c r="FCC34" s="228"/>
      <c r="FCD34" s="228"/>
      <c r="FCE34" s="228"/>
      <c r="FCF34" s="228"/>
      <c r="FCG34" s="228"/>
      <c r="FCH34" s="228"/>
      <c r="FCI34" s="228"/>
      <c r="FCJ34" s="228"/>
      <c r="FCK34" s="228"/>
      <c r="FCL34" s="228"/>
      <c r="FCM34" s="228"/>
      <c r="FCN34" s="228"/>
      <c r="FCO34" s="228"/>
      <c r="FCP34" s="228"/>
      <c r="FCQ34" s="228"/>
      <c r="FCR34" s="228"/>
      <c r="FCS34" s="228"/>
      <c r="FCT34" s="228"/>
      <c r="FCU34" s="228"/>
      <c r="FCV34" s="228"/>
      <c r="FCW34" s="228"/>
      <c r="FCX34" s="228"/>
      <c r="FCY34" s="228"/>
      <c r="FCZ34" s="228"/>
      <c r="FDA34" s="228"/>
      <c r="FDB34" s="228"/>
      <c r="FDC34" s="228"/>
      <c r="FDD34" s="228"/>
      <c r="FDE34" s="228"/>
      <c r="FDF34" s="228"/>
      <c r="FDG34" s="228"/>
      <c r="FDH34" s="228"/>
      <c r="FDI34" s="228"/>
      <c r="FDJ34" s="228"/>
      <c r="FDK34" s="228"/>
      <c r="FDL34" s="228"/>
      <c r="FDM34" s="228"/>
      <c r="FDN34" s="228"/>
      <c r="FDO34" s="228"/>
      <c r="FDP34" s="228"/>
      <c r="FDQ34" s="228"/>
      <c r="FDR34" s="228"/>
      <c r="FDS34" s="228"/>
      <c r="FDT34" s="228"/>
      <c r="FDU34" s="228"/>
      <c r="FDV34" s="228"/>
      <c r="FDW34" s="228"/>
      <c r="FDX34" s="228"/>
      <c r="FDY34" s="228"/>
      <c r="FDZ34" s="228"/>
      <c r="FEA34" s="228"/>
      <c r="FEB34" s="228"/>
      <c r="FEC34" s="228"/>
      <c r="FED34" s="228"/>
      <c r="FEE34" s="228"/>
      <c r="FEF34" s="228"/>
      <c r="FEG34" s="228"/>
      <c r="FEH34" s="228"/>
      <c r="FEI34" s="228"/>
      <c r="FEJ34" s="228"/>
      <c r="FEK34" s="228"/>
      <c r="FEL34" s="228"/>
      <c r="FEM34" s="228"/>
      <c r="FEN34" s="228"/>
      <c r="FEO34" s="228"/>
      <c r="FEP34" s="228"/>
      <c r="FEQ34" s="228"/>
      <c r="FER34" s="228"/>
      <c r="FES34" s="228"/>
      <c r="FET34" s="228"/>
      <c r="FEU34" s="228"/>
      <c r="FEV34" s="228"/>
      <c r="FEW34" s="228"/>
      <c r="FEX34" s="228"/>
      <c r="FEY34" s="228"/>
      <c r="FEZ34" s="228"/>
      <c r="FFA34" s="228"/>
      <c r="FFB34" s="228"/>
      <c r="FFC34" s="228"/>
      <c r="FFD34" s="228"/>
      <c r="FFE34" s="228"/>
      <c r="FFF34" s="228"/>
      <c r="FFG34" s="228"/>
      <c r="FFH34" s="228"/>
      <c r="FFI34" s="228"/>
      <c r="FFJ34" s="228"/>
      <c r="FFK34" s="228"/>
      <c r="FFL34" s="228"/>
      <c r="FFM34" s="228"/>
      <c r="FFN34" s="228"/>
      <c r="FFO34" s="228"/>
      <c r="FFP34" s="228"/>
      <c r="FFQ34" s="228"/>
      <c r="FFR34" s="228"/>
      <c r="FFS34" s="228"/>
      <c r="FFT34" s="228"/>
      <c r="FFU34" s="228"/>
      <c r="FFV34" s="228"/>
      <c r="FFW34" s="228"/>
      <c r="FFX34" s="228"/>
      <c r="FFY34" s="228"/>
      <c r="FFZ34" s="228"/>
      <c r="FGA34" s="228"/>
      <c r="FGB34" s="228"/>
      <c r="FGC34" s="228"/>
      <c r="FGD34" s="228"/>
      <c r="FGE34" s="228"/>
      <c r="FGF34" s="228"/>
      <c r="FGG34" s="228"/>
      <c r="FGH34" s="228"/>
      <c r="FGI34" s="228"/>
      <c r="FGJ34" s="228"/>
      <c r="FGK34" s="228"/>
      <c r="FGL34" s="228"/>
      <c r="FGM34" s="228"/>
      <c r="FGN34" s="228"/>
      <c r="FGO34" s="228"/>
      <c r="FGP34" s="228"/>
      <c r="FGQ34" s="228"/>
      <c r="FGR34" s="228"/>
      <c r="FGS34" s="228"/>
      <c r="FGT34" s="228"/>
      <c r="FGU34" s="228"/>
      <c r="FGV34" s="228"/>
      <c r="FGW34" s="228"/>
      <c r="FGX34" s="228"/>
      <c r="FGY34" s="228"/>
      <c r="FGZ34" s="228"/>
      <c r="FHA34" s="228"/>
      <c r="FHB34" s="228"/>
      <c r="FHC34" s="228"/>
      <c r="FHD34" s="228"/>
      <c r="FHE34" s="228"/>
      <c r="FHF34" s="228"/>
      <c r="FHG34" s="228"/>
      <c r="FHH34" s="228"/>
      <c r="FHI34" s="228"/>
      <c r="FHJ34" s="228"/>
      <c r="FHK34" s="228"/>
      <c r="FHL34" s="228"/>
      <c r="FHM34" s="228"/>
      <c r="FHN34" s="228"/>
      <c r="FHO34" s="228"/>
      <c r="FHP34" s="228"/>
      <c r="FHQ34" s="228"/>
      <c r="FHR34" s="228"/>
      <c r="FHS34" s="228"/>
      <c r="FHT34" s="228"/>
      <c r="FHU34" s="228"/>
      <c r="FHV34" s="228"/>
      <c r="FHW34" s="228"/>
      <c r="FHX34" s="228"/>
      <c r="FHY34" s="228"/>
      <c r="FHZ34" s="228"/>
      <c r="FIA34" s="228"/>
      <c r="FIB34" s="228"/>
      <c r="FIC34" s="228"/>
      <c r="FID34" s="228"/>
      <c r="FIE34" s="228"/>
      <c r="FIF34" s="228"/>
      <c r="FIG34" s="228"/>
      <c r="FIH34" s="228"/>
      <c r="FII34" s="228"/>
      <c r="FIJ34" s="228"/>
      <c r="FIK34" s="228"/>
      <c r="FIL34" s="228"/>
      <c r="FIM34" s="228"/>
      <c r="FIN34" s="228"/>
      <c r="FIO34" s="228"/>
      <c r="FIP34" s="228"/>
      <c r="FIQ34" s="228"/>
      <c r="FIR34" s="228"/>
      <c r="FIS34" s="228"/>
      <c r="FIT34" s="228"/>
      <c r="FIU34" s="228"/>
      <c r="FIV34" s="228"/>
      <c r="FIW34" s="228"/>
      <c r="FIX34" s="228"/>
      <c r="FIY34" s="228"/>
      <c r="FIZ34" s="228"/>
      <c r="FJA34" s="228"/>
      <c r="FJB34" s="228"/>
      <c r="FJC34" s="228"/>
      <c r="FJD34" s="228"/>
      <c r="FJE34" s="228"/>
      <c r="FJF34" s="228"/>
      <c r="FJG34" s="228"/>
      <c r="FJH34" s="228"/>
      <c r="FJI34" s="228"/>
      <c r="FJJ34" s="228"/>
      <c r="FJK34" s="228"/>
      <c r="FJL34" s="228"/>
      <c r="FJM34" s="228"/>
      <c r="FJN34" s="228"/>
      <c r="FJO34" s="228"/>
      <c r="FJP34" s="228"/>
      <c r="FJQ34" s="228"/>
      <c r="FJR34" s="228"/>
      <c r="FJS34" s="228"/>
      <c r="FJT34" s="228"/>
      <c r="FJU34" s="228"/>
      <c r="FJV34" s="228"/>
      <c r="FJW34" s="228"/>
      <c r="FJX34" s="228"/>
      <c r="FJY34" s="228"/>
      <c r="FJZ34" s="228"/>
      <c r="FKA34" s="228"/>
      <c r="FKB34" s="228"/>
      <c r="FKC34" s="228"/>
      <c r="FKD34" s="228"/>
      <c r="FKE34" s="228"/>
      <c r="FKF34" s="228"/>
      <c r="FKG34" s="228"/>
      <c r="FKH34" s="228"/>
      <c r="FKI34" s="228"/>
      <c r="FKJ34" s="228"/>
      <c r="FKK34" s="228"/>
      <c r="FKL34" s="228"/>
      <c r="FKM34" s="228"/>
      <c r="FKN34" s="228"/>
      <c r="FKO34" s="228"/>
      <c r="FKP34" s="228"/>
      <c r="FKQ34" s="228"/>
      <c r="FKR34" s="228"/>
      <c r="FKS34" s="228"/>
      <c r="FKT34" s="228"/>
      <c r="FKU34" s="228"/>
      <c r="FKV34" s="228"/>
      <c r="FKW34" s="228"/>
      <c r="FKX34" s="228"/>
      <c r="FKY34" s="228"/>
      <c r="FKZ34" s="228"/>
      <c r="FLA34" s="228"/>
      <c r="FLB34" s="228"/>
      <c r="FLC34" s="228"/>
      <c r="FLD34" s="228"/>
      <c r="FLE34" s="228"/>
      <c r="FLF34" s="228"/>
      <c r="FLG34" s="228"/>
      <c r="FLH34" s="228"/>
      <c r="FLI34" s="228"/>
      <c r="FLJ34" s="228"/>
      <c r="FLK34" s="228"/>
      <c r="FLL34" s="228"/>
      <c r="FLM34" s="228"/>
      <c r="FLN34" s="228"/>
      <c r="FLO34" s="228"/>
      <c r="FLP34" s="228"/>
      <c r="FLQ34" s="228"/>
      <c r="FLR34" s="228"/>
      <c r="FLS34" s="228"/>
      <c r="FLT34" s="228"/>
      <c r="FLU34" s="228"/>
      <c r="FLV34" s="228"/>
      <c r="FLW34" s="228"/>
      <c r="FLX34" s="228"/>
      <c r="FLY34" s="228"/>
      <c r="FLZ34" s="228"/>
      <c r="FMA34" s="228"/>
      <c r="FMB34" s="228"/>
      <c r="FMC34" s="228"/>
      <c r="FMD34" s="228"/>
      <c r="FME34" s="228"/>
      <c r="FMF34" s="228"/>
      <c r="FMG34" s="228"/>
      <c r="FMH34" s="228"/>
      <c r="FMI34" s="228"/>
      <c r="FMJ34" s="228"/>
      <c r="FMK34" s="228"/>
      <c r="FML34" s="228"/>
      <c r="FMM34" s="228"/>
      <c r="FMN34" s="228"/>
      <c r="FMO34" s="228"/>
      <c r="FMP34" s="228"/>
      <c r="FMQ34" s="228"/>
      <c r="FMR34" s="228"/>
      <c r="FMS34" s="228"/>
      <c r="FMT34" s="228"/>
      <c r="FMU34" s="228"/>
      <c r="FMV34" s="228"/>
      <c r="FMW34" s="228"/>
      <c r="FMX34" s="228"/>
      <c r="FMY34" s="228"/>
      <c r="FMZ34" s="228"/>
      <c r="FNA34" s="228"/>
      <c r="FNB34" s="228"/>
      <c r="FNC34" s="228"/>
      <c r="FND34" s="228"/>
      <c r="FNE34" s="228"/>
      <c r="FNF34" s="228"/>
      <c r="FNG34" s="228"/>
      <c r="FNH34" s="228"/>
      <c r="FNI34" s="228"/>
      <c r="FNJ34" s="228"/>
      <c r="FNK34" s="228"/>
      <c r="FNL34" s="228"/>
      <c r="FNM34" s="228"/>
      <c r="FNN34" s="228"/>
      <c r="FNO34" s="228"/>
      <c r="FNP34" s="228"/>
      <c r="FNQ34" s="228"/>
      <c r="FNR34" s="228"/>
      <c r="FNS34" s="228"/>
      <c r="FNT34" s="228"/>
      <c r="FNU34" s="228"/>
      <c r="FNV34" s="228"/>
      <c r="FNW34" s="228"/>
      <c r="FNX34" s="228"/>
      <c r="FNY34" s="228"/>
      <c r="FNZ34" s="228"/>
      <c r="FOA34" s="228"/>
      <c r="FOB34" s="228"/>
      <c r="FOC34" s="228"/>
      <c r="FOD34" s="228"/>
      <c r="FOE34" s="228"/>
      <c r="FOF34" s="228"/>
      <c r="FOG34" s="228"/>
      <c r="FOH34" s="228"/>
      <c r="FOI34" s="228"/>
      <c r="FOJ34" s="228"/>
      <c r="FOK34" s="228"/>
      <c r="FOL34" s="228"/>
      <c r="FOM34" s="228"/>
      <c r="FON34" s="228"/>
      <c r="FOO34" s="228"/>
      <c r="FOP34" s="228"/>
      <c r="FOQ34" s="228"/>
      <c r="FOR34" s="228"/>
      <c r="FOS34" s="228"/>
      <c r="FOT34" s="228"/>
      <c r="FOU34" s="228"/>
      <c r="FOV34" s="228"/>
      <c r="FOW34" s="228"/>
      <c r="FOX34" s="228"/>
      <c r="FOY34" s="228"/>
      <c r="FOZ34" s="228"/>
      <c r="FPA34" s="228"/>
      <c r="FPB34" s="228"/>
      <c r="FPC34" s="228"/>
      <c r="FPD34" s="228"/>
      <c r="FPE34" s="228"/>
      <c r="FPF34" s="228"/>
      <c r="FPG34" s="228"/>
      <c r="FPH34" s="228"/>
      <c r="FPI34" s="228"/>
      <c r="FPJ34" s="228"/>
      <c r="FPK34" s="228"/>
      <c r="FPL34" s="228"/>
      <c r="FPM34" s="228"/>
      <c r="FPN34" s="228"/>
      <c r="FPO34" s="228"/>
      <c r="FPP34" s="228"/>
      <c r="FPQ34" s="228"/>
      <c r="FPR34" s="228"/>
      <c r="FPS34" s="228"/>
      <c r="FPT34" s="228"/>
      <c r="FPU34" s="228"/>
      <c r="FPV34" s="228"/>
      <c r="FPW34" s="228"/>
      <c r="FPX34" s="228"/>
      <c r="FPY34" s="228"/>
      <c r="FPZ34" s="228"/>
      <c r="FQA34" s="228"/>
      <c r="FQB34" s="228"/>
      <c r="FQC34" s="228"/>
      <c r="FQD34" s="228"/>
      <c r="FQE34" s="228"/>
      <c r="FQF34" s="228"/>
      <c r="FQG34" s="228"/>
      <c r="FQH34" s="228"/>
      <c r="FQI34" s="228"/>
      <c r="FQJ34" s="228"/>
      <c r="FQK34" s="228"/>
      <c r="FQL34" s="228"/>
      <c r="FQM34" s="228"/>
      <c r="FQN34" s="228"/>
      <c r="FQO34" s="228"/>
      <c r="FQP34" s="228"/>
      <c r="FQQ34" s="228"/>
      <c r="FQR34" s="228"/>
      <c r="FQS34" s="228"/>
      <c r="FQT34" s="228"/>
      <c r="FQU34" s="228"/>
      <c r="FQV34" s="228"/>
      <c r="FQW34" s="228"/>
      <c r="FQX34" s="228"/>
      <c r="FQY34" s="228"/>
      <c r="FQZ34" s="228"/>
      <c r="FRA34" s="228"/>
      <c r="FRB34" s="228"/>
      <c r="FRC34" s="228"/>
      <c r="FRD34" s="228"/>
      <c r="FRE34" s="228"/>
      <c r="FRF34" s="228"/>
      <c r="FRG34" s="228"/>
      <c r="FRH34" s="228"/>
      <c r="FRI34" s="228"/>
      <c r="FRJ34" s="228"/>
      <c r="FRK34" s="228"/>
      <c r="FRL34" s="228"/>
      <c r="FRM34" s="228"/>
      <c r="FRN34" s="228"/>
      <c r="FRO34" s="228"/>
      <c r="FRP34" s="228"/>
      <c r="FRQ34" s="228"/>
      <c r="FRR34" s="228"/>
      <c r="FRS34" s="228"/>
      <c r="FRT34" s="228"/>
      <c r="FRU34" s="228"/>
      <c r="FRV34" s="228"/>
      <c r="FRW34" s="228"/>
      <c r="FRX34" s="228"/>
      <c r="FRY34" s="228"/>
      <c r="FRZ34" s="228"/>
      <c r="FSA34" s="228"/>
      <c r="FSB34" s="228"/>
      <c r="FSC34" s="228"/>
      <c r="FSD34" s="228"/>
      <c r="FSE34" s="228"/>
      <c r="FSF34" s="228"/>
      <c r="FSG34" s="228"/>
      <c r="FSH34" s="228"/>
      <c r="FSI34" s="228"/>
      <c r="FSJ34" s="228"/>
      <c r="FSK34" s="228"/>
      <c r="FSL34" s="228"/>
      <c r="FSM34" s="228"/>
      <c r="FSN34" s="228"/>
      <c r="FSO34" s="228"/>
      <c r="FSP34" s="228"/>
      <c r="FSQ34" s="228"/>
      <c r="FSR34" s="228"/>
      <c r="FSS34" s="228"/>
      <c r="FST34" s="228"/>
      <c r="FSU34" s="228"/>
      <c r="FSV34" s="228"/>
      <c r="FSW34" s="228"/>
      <c r="FSX34" s="228"/>
      <c r="FSY34" s="228"/>
      <c r="FSZ34" s="228"/>
      <c r="FTA34" s="228"/>
      <c r="FTB34" s="228"/>
      <c r="FTC34" s="228"/>
      <c r="FTD34" s="228"/>
      <c r="FTE34" s="228"/>
      <c r="FTF34" s="228"/>
      <c r="FTG34" s="228"/>
      <c r="FTH34" s="228"/>
      <c r="FTI34" s="228"/>
      <c r="FTJ34" s="228"/>
      <c r="FTK34" s="228"/>
      <c r="FTL34" s="228"/>
      <c r="FTM34" s="228"/>
      <c r="FTN34" s="228"/>
      <c r="FTO34" s="228"/>
      <c r="FTP34" s="228"/>
      <c r="FTQ34" s="228"/>
      <c r="FTR34" s="228"/>
      <c r="FTS34" s="228"/>
      <c r="FTT34" s="228"/>
      <c r="FTU34" s="228"/>
      <c r="FTV34" s="228"/>
      <c r="FTW34" s="228"/>
      <c r="FTX34" s="228"/>
      <c r="FTY34" s="228"/>
      <c r="FTZ34" s="228"/>
      <c r="FUA34" s="228"/>
      <c r="FUB34" s="228"/>
      <c r="FUC34" s="228"/>
      <c r="FUD34" s="228"/>
      <c r="FUE34" s="228"/>
      <c r="FUF34" s="228"/>
      <c r="FUG34" s="228"/>
      <c r="FUH34" s="228"/>
      <c r="FUI34" s="228"/>
      <c r="FUJ34" s="228"/>
      <c r="FUK34" s="228"/>
      <c r="FUL34" s="228"/>
      <c r="FUM34" s="228"/>
      <c r="FUN34" s="228"/>
      <c r="FUO34" s="228"/>
      <c r="FUP34" s="228"/>
      <c r="FUQ34" s="228"/>
      <c r="FUR34" s="228"/>
      <c r="FUS34" s="228"/>
      <c r="FUT34" s="228"/>
      <c r="FUU34" s="228"/>
      <c r="FUV34" s="228"/>
      <c r="FUW34" s="228"/>
      <c r="FUX34" s="228"/>
      <c r="FUY34" s="228"/>
      <c r="FUZ34" s="228"/>
      <c r="FVA34" s="228"/>
      <c r="FVB34" s="228"/>
      <c r="FVC34" s="228"/>
      <c r="FVD34" s="228"/>
      <c r="FVE34" s="228"/>
      <c r="FVF34" s="228"/>
      <c r="FVG34" s="228"/>
      <c r="FVH34" s="228"/>
      <c r="FVI34" s="228"/>
      <c r="FVJ34" s="228"/>
      <c r="FVK34" s="228"/>
      <c r="FVL34" s="228"/>
      <c r="FVM34" s="228"/>
      <c r="FVN34" s="228"/>
      <c r="FVO34" s="228"/>
      <c r="FVP34" s="228"/>
      <c r="FVQ34" s="228"/>
      <c r="FVR34" s="228"/>
      <c r="FVS34" s="228"/>
      <c r="FVT34" s="228"/>
      <c r="FVU34" s="228"/>
      <c r="FVV34" s="228"/>
      <c r="FVW34" s="228"/>
      <c r="FVX34" s="228"/>
      <c r="FVY34" s="228"/>
      <c r="FVZ34" s="228"/>
      <c r="FWA34" s="228"/>
      <c r="FWB34" s="228"/>
      <c r="FWC34" s="228"/>
      <c r="FWD34" s="228"/>
      <c r="FWE34" s="228"/>
      <c r="FWF34" s="228"/>
      <c r="FWG34" s="228"/>
      <c r="FWH34" s="228"/>
      <c r="FWI34" s="228"/>
      <c r="FWJ34" s="228"/>
      <c r="FWK34" s="228"/>
      <c r="FWL34" s="228"/>
      <c r="FWM34" s="228"/>
      <c r="FWN34" s="228"/>
      <c r="FWO34" s="228"/>
      <c r="FWP34" s="228"/>
      <c r="FWQ34" s="228"/>
      <c r="FWR34" s="228"/>
      <c r="FWS34" s="228"/>
      <c r="FWT34" s="228"/>
      <c r="FWU34" s="228"/>
      <c r="FWV34" s="228"/>
      <c r="FWW34" s="228"/>
      <c r="FWX34" s="228"/>
      <c r="FWY34" s="228"/>
      <c r="FWZ34" s="228"/>
      <c r="FXA34" s="228"/>
      <c r="FXB34" s="228"/>
      <c r="FXC34" s="228"/>
      <c r="FXD34" s="228"/>
      <c r="FXE34" s="228"/>
      <c r="FXF34" s="228"/>
      <c r="FXG34" s="228"/>
      <c r="FXH34" s="228"/>
      <c r="FXI34" s="228"/>
      <c r="FXJ34" s="228"/>
      <c r="FXK34" s="228"/>
      <c r="FXL34" s="228"/>
      <c r="FXM34" s="228"/>
      <c r="FXN34" s="228"/>
      <c r="FXO34" s="228"/>
      <c r="FXP34" s="228"/>
      <c r="FXQ34" s="228"/>
      <c r="FXR34" s="228"/>
      <c r="FXS34" s="228"/>
      <c r="FXT34" s="228"/>
      <c r="FXU34" s="228"/>
      <c r="FXV34" s="228"/>
      <c r="FXW34" s="228"/>
      <c r="FXX34" s="228"/>
      <c r="FXY34" s="228"/>
      <c r="FXZ34" s="228"/>
      <c r="FYA34" s="228"/>
      <c r="FYB34" s="228"/>
      <c r="FYC34" s="228"/>
      <c r="FYD34" s="228"/>
      <c r="FYE34" s="228"/>
      <c r="FYF34" s="228"/>
      <c r="FYG34" s="228"/>
      <c r="FYH34" s="228"/>
      <c r="FYI34" s="228"/>
      <c r="FYJ34" s="228"/>
      <c r="FYK34" s="228"/>
      <c r="FYL34" s="228"/>
      <c r="FYM34" s="228"/>
      <c r="FYN34" s="228"/>
      <c r="FYO34" s="228"/>
      <c r="FYP34" s="228"/>
      <c r="FYQ34" s="228"/>
      <c r="FYR34" s="228"/>
      <c r="FYS34" s="228"/>
      <c r="FYT34" s="228"/>
      <c r="FYU34" s="228"/>
      <c r="FYV34" s="228"/>
      <c r="FYW34" s="228"/>
      <c r="FYX34" s="228"/>
      <c r="FYY34" s="228"/>
      <c r="FYZ34" s="228"/>
      <c r="FZA34" s="228"/>
      <c r="FZB34" s="228"/>
      <c r="FZC34" s="228"/>
      <c r="FZD34" s="228"/>
      <c r="FZE34" s="228"/>
      <c r="FZF34" s="228"/>
      <c r="FZG34" s="228"/>
      <c r="FZH34" s="228"/>
      <c r="FZI34" s="228"/>
      <c r="FZJ34" s="228"/>
      <c r="FZK34" s="228"/>
      <c r="FZL34" s="228"/>
      <c r="FZM34" s="228"/>
      <c r="FZN34" s="228"/>
      <c r="FZO34" s="228"/>
      <c r="FZP34" s="228"/>
      <c r="FZQ34" s="228"/>
      <c r="FZR34" s="228"/>
      <c r="FZS34" s="228"/>
      <c r="FZT34" s="228"/>
      <c r="FZU34" s="228"/>
      <c r="FZV34" s="228"/>
      <c r="FZW34" s="228"/>
      <c r="FZX34" s="228"/>
      <c r="FZY34" s="228"/>
      <c r="FZZ34" s="228"/>
      <c r="GAA34" s="228"/>
      <c r="GAB34" s="228"/>
      <c r="GAC34" s="228"/>
      <c r="GAD34" s="228"/>
      <c r="GAE34" s="228"/>
      <c r="GAF34" s="228"/>
      <c r="GAG34" s="228"/>
      <c r="GAH34" s="228"/>
      <c r="GAI34" s="228"/>
      <c r="GAJ34" s="228"/>
      <c r="GAK34" s="228"/>
      <c r="GAL34" s="228"/>
      <c r="GAM34" s="228"/>
      <c r="GAN34" s="228"/>
      <c r="GAO34" s="228"/>
      <c r="GAP34" s="228"/>
      <c r="GAQ34" s="228"/>
      <c r="GAR34" s="228"/>
      <c r="GAS34" s="228"/>
      <c r="GAT34" s="228"/>
      <c r="GAU34" s="228"/>
      <c r="GAV34" s="228"/>
      <c r="GAW34" s="228"/>
      <c r="GAX34" s="228"/>
      <c r="GAY34" s="228"/>
      <c r="GAZ34" s="228"/>
      <c r="GBA34" s="228"/>
      <c r="GBB34" s="228"/>
      <c r="GBC34" s="228"/>
      <c r="GBD34" s="228"/>
      <c r="GBE34" s="228"/>
      <c r="GBF34" s="228"/>
      <c r="GBG34" s="228"/>
      <c r="GBH34" s="228"/>
      <c r="GBI34" s="228"/>
      <c r="GBJ34" s="228"/>
      <c r="GBK34" s="228"/>
      <c r="GBL34" s="228"/>
      <c r="GBM34" s="228"/>
      <c r="GBN34" s="228"/>
      <c r="GBO34" s="228"/>
      <c r="GBP34" s="228"/>
      <c r="GBQ34" s="228"/>
      <c r="GBR34" s="228"/>
      <c r="GBS34" s="228"/>
      <c r="GBT34" s="228"/>
      <c r="GBU34" s="228"/>
      <c r="GBV34" s="228"/>
      <c r="GBW34" s="228"/>
      <c r="GBX34" s="228"/>
      <c r="GBY34" s="228"/>
      <c r="GBZ34" s="228"/>
      <c r="GCA34" s="228"/>
      <c r="GCB34" s="228"/>
      <c r="GCC34" s="228"/>
      <c r="GCD34" s="228"/>
      <c r="GCE34" s="228"/>
      <c r="GCF34" s="228"/>
      <c r="GCG34" s="228"/>
      <c r="GCH34" s="228"/>
      <c r="GCI34" s="228"/>
      <c r="GCJ34" s="228"/>
      <c r="GCK34" s="228"/>
      <c r="GCL34" s="228"/>
      <c r="GCM34" s="228"/>
      <c r="GCN34" s="228"/>
      <c r="GCO34" s="228"/>
      <c r="GCP34" s="228"/>
      <c r="GCQ34" s="228"/>
      <c r="GCR34" s="228"/>
      <c r="GCS34" s="228"/>
      <c r="GCT34" s="228"/>
      <c r="GCU34" s="228"/>
      <c r="GCV34" s="228"/>
      <c r="GCW34" s="228"/>
      <c r="GCX34" s="228"/>
      <c r="GCY34" s="228"/>
      <c r="GCZ34" s="228"/>
      <c r="GDA34" s="228"/>
      <c r="GDB34" s="228"/>
      <c r="GDC34" s="228"/>
      <c r="GDD34" s="228"/>
      <c r="GDE34" s="228"/>
      <c r="GDF34" s="228"/>
      <c r="GDG34" s="228"/>
      <c r="GDH34" s="228"/>
      <c r="GDI34" s="228"/>
      <c r="GDJ34" s="228"/>
      <c r="GDK34" s="228"/>
      <c r="GDL34" s="228"/>
      <c r="GDM34" s="228"/>
      <c r="GDN34" s="228"/>
      <c r="GDO34" s="228"/>
      <c r="GDP34" s="228"/>
      <c r="GDQ34" s="228"/>
      <c r="GDR34" s="228"/>
      <c r="GDS34" s="228"/>
      <c r="GDT34" s="228"/>
      <c r="GDU34" s="228"/>
      <c r="GDV34" s="228"/>
      <c r="GDW34" s="228"/>
      <c r="GDX34" s="228"/>
      <c r="GDY34" s="228"/>
      <c r="GDZ34" s="228"/>
      <c r="GEA34" s="228"/>
      <c r="GEB34" s="228"/>
      <c r="GEC34" s="228"/>
      <c r="GED34" s="228"/>
      <c r="GEE34" s="228"/>
      <c r="GEF34" s="228"/>
      <c r="GEG34" s="228"/>
      <c r="GEH34" s="228"/>
      <c r="GEI34" s="228"/>
      <c r="GEJ34" s="228"/>
      <c r="GEK34" s="228"/>
      <c r="GEL34" s="228"/>
      <c r="GEM34" s="228"/>
      <c r="GEN34" s="228"/>
      <c r="GEO34" s="228"/>
      <c r="GEP34" s="228"/>
      <c r="GEQ34" s="228"/>
      <c r="GER34" s="228"/>
      <c r="GES34" s="228"/>
      <c r="GET34" s="228"/>
      <c r="GEU34" s="228"/>
      <c r="GEV34" s="228"/>
      <c r="GEW34" s="228"/>
      <c r="GEX34" s="228"/>
      <c r="GEY34" s="228"/>
      <c r="GEZ34" s="228"/>
      <c r="GFA34" s="228"/>
      <c r="GFB34" s="228"/>
      <c r="GFC34" s="228"/>
      <c r="GFD34" s="228"/>
      <c r="GFE34" s="228"/>
      <c r="GFF34" s="228"/>
      <c r="GFG34" s="228"/>
      <c r="GFH34" s="228"/>
      <c r="GFI34" s="228"/>
      <c r="GFJ34" s="228"/>
      <c r="GFK34" s="228"/>
      <c r="GFL34" s="228"/>
      <c r="GFM34" s="228"/>
      <c r="GFN34" s="228"/>
      <c r="GFO34" s="228"/>
      <c r="GFP34" s="228"/>
      <c r="GFQ34" s="228"/>
      <c r="GFR34" s="228"/>
      <c r="GFS34" s="228"/>
      <c r="GFT34" s="228"/>
      <c r="GFU34" s="228"/>
      <c r="GFV34" s="228"/>
      <c r="GFW34" s="228"/>
      <c r="GFX34" s="228"/>
      <c r="GFY34" s="228"/>
      <c r="GFZ34" s="228"/>
      <c r="GGA34" s="228"/>
      <c r="GGB34" s="228"/>
      <c r="GGC34" s="228"/>
      <c r="GGD34" s="228"/>
      <c r="GGE34" s="228"/>
      <c r="GGF34" s="228"/>
      <c r="GGG34" s="228"/>
      <c r="GGH34" s="228"/>
      <c r="GGI34" s="228"/>
      <c r="GGJ34" s="228"/>
      <c r="GGK34" s="228"/>
      <c r="GGL34" s="228"/>
      <c r="GGM34" s="228"/>
      <c r="GGN34" s="228"/>
      <c r="GGO34" s="228"/>
      <c r="GGP34" s="228"/>
      <c r="GGQ34" s="228"/>
      <c r="GGR34" s="228"/>
      <c r="GGS34" s="228"/>
      <c r="GGT34" s="228"/>
      <c r="GGU34" s="228"/>
      <c r="GGV34" s="228"/>
      <c r="GGW34" s="228"/>
      <c r="GGX34" s="228"/>
      <c r="GGY34" s="228"/>
      <c r="GGZ34" s="228"/>
      <c r="GHA34" s="228"/>
      <c r="GHB34" s="228"/>
      <c r="GHC34" s="228"/>
      <c r="GHD34" s="228"/>
      <c r="GHE34" s="228"/>
      <c r="GHF34" s="228"/>
      <c r="GHG34" s="228"/>
      <c r="GHH34" s="228"/>
      <c r="GHI34" s="228"/>
      <c r="GHJ34" s="228"/>
      <c r="GHK34" s="228"/>
      <c r="GHL34" s="228"/>
      <c r="GHM34" s="228"/>
      <c r="GHN34" s="228"/>
      <c r="GHO34" s="228"/>
      <c r="GHP34" s="228"/>
      <c r="GHQ34" s="228"/>
      <c r="GHR34" s="228"/>
      <c r="GHS34" s="228"/>
      <c r="GHT34" s="228"/>
      <c r="GHU34" s="228"/>
      <c r="GHV34" s="228"/>
      <c r="GHW34" s="228"/>
      <c r="GHX34" s="228"/>
      <c r="GHY34" s="228"/>
      <c r="GHZ34" s="228"/>
      <c r="GIA34" s="228"/>
      <c r="GIB34" s="228"/>
      <c r="GIC34" s="228"/>
      <c r="GID34" s="228"/>
      <c r="GIE34" s="228"/>
      <c r="GIF34" s="228"/>
      <c r="GIG34" s="228"/>
      <c r="GIH34" s="228"/>
      <c r="GII34" s="228"/>
      <c r="GIJ34" s="228"/>
      <c r="GIK34" s="228"/>
      <c r="GIL34" s="228"/>
      <c r="GIM34" s="228"/>
      <c r="GIN34" s="228"/>
      <c r="GIO34" s="228"/>
      <c r="GIP34" s="228"/>
      <c r="GIQ34" s="228"/>
      <c r="GIR34" s="228"/>
      <c r="GIS34" s="228"/>
      <c r="GIT34" s="228"/>
      <c r="GIU34" s="228"/>
      <c r="GIV34" s="228"/>
      <c r="GIW34" s="228"/>
      <c r="GIX34" s="228"/>
      <c r="GIY34" s="228"/>
      <c r="GIZ34" s="228"/>
      <c r="GJA34" s="228"/>
      <c r="GJB34" s="228"/>
      <c r="GJC34" s="228"/>
      <c r="GJD34" s="228"/>
      <c r="GJE34" s="228"/>
      <c r="GJF34" s="228"/>
      <c r="GJG34" s="228"/>
      <c r="GJH34" s="228"/>
      <c r="GJI34" s="228"/>
      <c r="GJJ34" s="228"/>
      <c r="GJK34" s="228"/>
      <c r="GJL34" s="228"/>
      <c r="GJM34" s="228"/>
      <c r="GJN34" s="228"/>
      <c r="GJO34" s="228"/>
      <c r="GJP34" s="228"/>
      <c r="GJQ34" s="228"/>
      <c r="GJR34" s="228"/>
      <c r="GJS34" s="228"/>
      <c r="GJT34" s="228"/>
      <c r="GJU34" s="228"/>
      <c r="GJV34" s="228"/>
      <c r="GJW34" s="228"/>
      <c r="GJX34" s="228"/>
      <c r="GJY34" s="228"/>
      <c r="GJZ34" s="228"/>
      <c r="GKA34" s="228"/>
      <c r="GKB34" s="228"/>
      <c r="GKC34" s="228"/>
      <c r="GKD34" s="228"/>
      <c r="GKE34" s="228"/>
      <c r="GKF34" s="228"/>
      <c r="GKG34" s="228"/>
      <c r="GKH34" s="228"/>
      <c r="GKI34" s="228"/>
      <c r="GKJ34" s="228"/>
      <c r="GKK34" s="228"/>
      <c r="GKL34" s="228"/>
      <c r="GKM34" s="228"/>
      <c r="GKN34" s="228"/>
      <c r="GKO34" s="228"/>
      <c r="GKP34" s="228"/>
      <c r="GKQ34" s="228"/>
      <c r="GKR34" s="228"/>
      <c r="GKS34" s="228"/>
      <c r="GKT34" s="228"/>
      <c r="GKU34" s="228"/>
      <c r="GKV34" s="228"/>
      <c r="GKW34" s="228"/>
      <c r="GKX34" s="228"/>
      <c r="GKY34" s="228"/>
      <c r="GKZ34" s="228"/>
      <c r="GLA34" s="228"/>
      <c r="GLB34" s="228"/>
      <c r="GLC34" s="228"/>
      <c r="GLD34" s="228"/>
      <c r="GLE34" s="228"/>
      <c r="GLF34" s="228"/>
      <c r="GLG34" s="228"/>
      <c r="GLH34" s="228"/>
      <c r="GLI34" s="228"/>
      <c r="GLJ34" s="228"/>
      <c r="GLK34" s="228"/>
      <c r="GLL34" s="228"/>
      <c r="GLM34" s="228"/>
      <c r="GLN34" s="228"/>
      <c r="GLO34" s="228"/>
      <c r="GLP34" s="228"/>
      <c r="GLQ34" s="228"/>
      <c r="GLR34" s="228"/>
      <c r="GLS34" s="228"/>
      <c r="GLT34" s="228"/>
      <c r="GLU34" s="228"/>
      <c r="GLV34" s="228"/>
      <c r="GLW34" s="228"/>
      <c r="GLX34" s="228"/>
      <c r="GLY34" s="228"/>
      <c r="GLZ34" s="228"/>
      <c r="GMA34" s="228"/>
      <c r="GMB34" s="228"/>
      <c r="GMC34" s="228"/>
      <c r="GMD34" s="228"/>
      <c r="GME34" s="228"/>
      <c r="GMF34" s="228"/>
      <c r="GMG34" s="228"/>
      <c r="GMH34" s="228"/>
      <c r="GMI34" s="228"/>
      <c r="GMJ34" s="228"/>
      <c r="GMK34" s="228"/>
      <c r="GML34" s="228"/>
      <c r="GMM34" s="228"/>
      <c r="GMN34" s="228"/>
      <c r="GMO34" s="228"/>
      <c r="GMP34" s="228"/>
      <c r="GMQ34" s="228"/>
      <c r="GMR34" s="228"/>
      <c r="GMS34" s="228"/>
      <c r="GMT34" s="228"/>
      <c r="GMU34" s="228"/>
      <c r="GMV34" s="228"/>
      <c r="GMW34" s="228"/>
      <c r="GMX34" s="228"/>
      <c r="GMY34" s="228"/>
      <c r="GMZ34" s="228"/>
      <c r="GNA34" s="228"/>
      <c r="GNB34" s="228"/>
      <c r="GNC34" s="228"/>
      <c r="GND34" s="228"/>
      <c r="GNE34" s="228"/>
      <c r="GNF34" s="228"/>
      <c r="GNG34" s="228"/>
      <c r="GNH34" s="228"/>
      <c r="GNI34" s="228"/>
      <c r="GNJ34" s="228"/>
      <c r="GNK34" s="228"/>
      <c r="GNL34" s="228"/>
      <c r="GNM34" s="228"/>
      <c r="GNN34" s="228"/>
      <c r="GNO34" s="228"/>
      <c r="GNP34" s="228"/>
      <c r="GNQ34" s="228"/>
      <c r="GNR34" s="228"/>
      <c r="GNS34" s="228"/>
      <c r="GNT34" s="228"/>
      <c r="GNU34" s="228"/>
      <c r="GNV34" s="228"/>
      <c r="GNW34" s="228"/>
      <c r="GNX34" s="228"/>
      <c r="GNY34" s="228"/>
      <c r="GNZ34" s="228"/>
      <c r="GOA34" s="228"/>
      <c r="GOB34" s="228"/>
      <c r="GOC34" s="228"/>
      <c r="GOD34" s="228"/>
      <c r="GOE34" s="228"/>
      <c r="GOF34" s="228"/>
      <c r="GOG34" s="228"/>
      <c r="GOH34" s="228"/>
      <c r="GOI34" s="228"/>
      <c r="GOJ34" s="228"/>
      <c r="GOK34" s="228"/>
      <c r="GOL34" s="228"/>
      <c r="GOM34" s="228"/>
      <c r="GON34" s="228"/>
      <c r="GOO34" s="228"/>
      <c r="GOP34" s="228"/>
      <c r="GOQ34" s="228"/>
      <c r="GOR34" s="228"/>
      <c r="GOS34" s="228"/>
      <c r="GOT34" s="228"/>
      <c r="GOU34" s="228"/>
      <c r="GOV34" s="228"/>
      <c r="GOW34" s="228"/>
      <c r="GOX34" s="228"/>
      <c r="GOY34" s="228"/>
      <c r="GOZ34" s="228"/>
      <c r="GPA34" s="228"/>
      <c r="GPB34" s="228"/>
      <c r="GPC34" s="228"/>
      <c r="GPD34" s="228"/>
      <c r="GPE34" s="228"/>
      <c r="GPF34" s="228"/>
      <c r="GPG34" s="228"/>
      <c r="GPH34" s="228"/>
      <c r="GPI34" s="228"/>
      <c r="GPJ34" s="228"/>
      <c r="GPK34" s="228"/>
      <c r="GPL34" s="228"/>
      <c r="GPM34" s="228"/>
      <c r="GPN34" s="228"/>
      <c r="GPO34" s="228"/>
      <c r="GPP34" s="228"/>
      <c r="GPQ34" s="228"/>
      <c r="GPR34" s="228"/>
      <c r="GPS34" s="228"/>
      <c r="GPT34" s="228"/>
      <c r="GPU34" s="228"/>
      <c r="GPV34" s="228"/>
      <c r="GPW34" s="228"/>
      <c r="GPX34" s="228"/>
      <c r="GPY34" s="228"/>
      <c r="GPZ34" s="228"/>
      <c r="GQA34" s="228"/>
      <c r="GQB34" s="228"/>
      <c r="GQC34" s="228"/>
      <c r="GQD34" s="228"/>
      <c r="GQE34" s="228"/>
      <c r="GQF34" s="228"/>
      <c r="GQG34" s="228"/>
      <c r="GQH34" s="228"/>
      <c r="GQI34" s="228"/>
      <c r="GQJ34" s="228"/>
      <c r="GQK34" s="228"/>
      <c r="GQL34" s="228"/>
      <c r="GQM34" s="228"/>
      <c r="GQN34" s="228"/>
      <c r="GQO34" s="228"/>
      <c r="GQP34" s="228"/>
      <c r="GQQ34" s="228"/>
      <c r="GQR34" s="228"/>
      <c r="GQS34" s="228"/>
      <c r="GQT34" s="228"/>
      <c r="GQU34" s="228"/>
      <c r="GQV34" s="228"/>
      <c r="GQW34" s="228"/>
      <c r="GQX34" s="228"/>
      <c r="GQY34" s="228"/>
      <c r="GQZ34" s="228"/>
      <c r="GRA34" s="228"/>
      <c r="GRB34" s="228"/>
      <c r="GRC34" s="228"/>
      <c r="GRD34" s="228"/>
      <c r="GRE34" s="228"/>
      <c r="GRF34" s="228"/>
      <c r="GRG34" s="228"/>
      <c r="GRH34" s="228"/>
      <c r="GRI34" s="228"/>
      <c r="GRJ34" s="228"/>
      <c r="GRK34" s="228"/>
      <c r="GRL34" s="228"/>
      <c r="GRM34" s="228"/>
      <c r="GRN34" s="228"/>
      <c r="GRO34" s="228"/>
      <c r="GRP34" s="228"/>
      <c r="GRQ34" s="228"/>
      <c r="GRR34" s="228"/>
      <c r="GRS34" s="228"/>
      <c r="GRT34" s="228"/>
      <c r="GRU34" s="228"/>
      <c r="GRV34" s="228"/>
      <c r="GRW34" s="228"/>
      <c r="GRX34" s="228"/>
      <c r="GRY34" s="228"/>
      <c r="GRZ34" s="228"/>
      <c r="GSA34" s="228"/>
      <c r="GSB34" s="228"/>
      <c r="GSC34" s="228"/>
      <c r="GSD34" s="228"/>
      <c r="GSE34" s="228"/>
      <c r="GSF34" s="228"/>
      <c r="GSG34" s="228"/>
      <c r="GSH34" s="228"/>
      <c r="GSI34" s="228"/>
      <c r="GSJ34" s="228"/>
      <c r="GSK34" s="228"/>
      <c r="GSL34" s="228"/>
      <c r="GSM34" s="228"/>
      <c r="GSN34" s="228"/>
      <c r="GSO34" s="228"/>
      <c r="GSP34" s="228"/>
      <c r="GSQ34" s="228"/>
      <c r="GSR34" s="228"/>
      <c r="GSS34" s="228"/>
      <c r="GST34" s="228"/>
      <c r="GSU34" s="228"/>
      <c r="GSV34" s="228"/>
      <c r="GSW34" s="228"/>
      <c r="GSX34" s="228"/>
      <c r="GSY34" s="228"/>
      <c r="GSZ34" s="228"/>
      <c r="GTA34" s="228"/>
      <c r="GTB34" s="228"/>
      <c r="GTC34" s="228"/>
      <c r="GTD34" s="228"/>
      <c r="GTE34" s="228"/>
      <c r="GTF34" s="228"/>
      <c r="GTG34" s="228"/>
      <c r="GTH34" s="228"/>
      <c r="GTI34" s="228"/>
      <c r="GTJ34" s="228"/>
      <c r="GTK34" s="228"/>
      <c r="GTL34" s="228"/>
      <c r="GTM34" s="228"/>
      <c r="GTN34" s="228"/>
      <c r="GTO34" s="228"/>
      <c r="GTP34" s="228"/>
      <c r="GTQ34" s="228"/>
      <c r="GTR34" s="228"/>
      <c r="GTS34" s="228"/>
      <c r="GTT34" s="228"/>
      <c r="GTU34" s="228"/>
      <c r="GTV34" s="228"/>
      <c r="GTW34" s="228"/>
      <c r="GTX34" s="228"/>
      <c r="GTY34" s="228"/>
      <c r="GTZ34" s="228"/>
      <c r="GUA34" s="228"/>
      <c r="GUB34" s="228"/>
      <c r="GUC34" s="228"/>
      <c r="GUD34" s="228"/>
      <c r="GUE34" s="228"/>
      <c r="GUF34" s="228"/>
      <c r="GUG34" s="228"/>
      <c r="GUH34" s="228"/>
      <c r="GUI34" s="228"/>
      <c r="GUJ34" s="228"/>
      <c r="GUK34" s="228"/>
      <c r="GUL34" s="228"/>
      <c r="GUM34" s="228"/>
      <c r="GUN34" s="228"/>
      <c r="GUO34" s="228"/>
      <c r="GUP34" s="228"/>
      <c r="GUQ34" s="228"/>
      <c r="GUR34" s="228"/>
      <c r="GUS34" s="228"/>
      <c r="GUT34" s="228"/>
      <c r="GUU34" s="228"/>
      <c r="GUV34" s="228"/>
      <c r="GUW34" s="228"/>
      <c r="GUX34" s="228"/>
      <c r="GUY34" s="228"/>
      <c r="GUZ34" s="228"/>
      <c r="GVA34" s="228"/>
      <c r="GVB34" s="228"/>
      <c r="GVC34" s="228"/>
      <c r="GVD34" s="228"/>
      <c r="GVE34" s="228"/>
      <c r="GVF34" s="228"/>
      <c r="GVG34" s="228"/>
      <c r="GVH34" s="228"/>
      <c r="GVI34" s="228"/>
      <c r="GVJ34" s="228"/>
      <c r="GVK34" s="228"/>
      <c r="GVL34" s="228"/>
      <c r="GVM34" s="228"/>
      <c r="GVN34" s="228"/>
      <c r="GVO34" s="228"/>
      <c r="GVP34" s="228"/>
      <c r="GVQ34" s="228"/>
      <c r="GVR34" s="228"/>
      <c r="GVS34" s="228"/>
      <c r="GVT34" s="228"/>
      <c r="GVU34" s="228"/>
      <c r="GVV34" s="228"/>
      <c r="GVW34" s="228"/>
      <c r="GVX34" s="228"/>
      <c r="GVY34" s="228"/>
      <c r="GVZ34" s="228"/>
      <c r="GWA34" s="228"/>
      <c r="GWB34" s="228"/>
      <c r="GWC34" s="228"/>
      <c r="GWD34" s="228"/>
      <c r="GWE34" s="228"/>
      <c r="GWF34" s="228"/>
      <c r="GWG34" s="228"/>
      <c r="GWH34" s="228"/>
      <c r="GWI34" s="228"/>
      <c r="GWJ34" s="228"/>
      <c r="GWK34" s="228"/>
      <c r="GWL34" s="228"/>
      <c r="GWM34" s="228"/>
      <c r="GWN34" s="228"/>
      <c r="GWO34" s="228"/>
      <c r="GWP34" s="228"/>
      <c r="GWQ34" s="228"/>
      <c r="GWR34" s="228"/>
      <c r="GWS34" s="228"/>
      <c r="GWT34" s="228"/>
      <c r="GWU34" s="228"/>
      <c r="GWV34" s="228"/>
      <c r="GWW34" s="228"/>
      <c r="GWX34" s="228"/>
      <c r="GWY34" s="228"/>
      <c r="GWZ34" s="228"/>
      <c r="GXA34" s="228"/>
      <c r="GXB34" s="228"/>
      <c r="GXC34" s="228"/>
      <c r="GXD34" s="228"/>
      <c r="GXE34" s="228"/>
      <c r="GXF34" s="228"/>
      <c r="GXG34" s="228"/>
      <c r="GXH34" s="228"/>
      <c r="GXI34" s="228"/>
      <c r="GXJ34" s="228"/>
      <c r="GXK34" s="228"/>
      <c r="GXL34" s="228"/>
      <c r="GXM34" s="228"/>
      <c r="GXN34" s="228"/>
      <c r="GXO34" s="228"/>
      <c r="GXP34" s="228"/>
      <c r="GXQ34" s="228"/>
      <c r="GXR34" s="228"/>
      <c r="GXS34" s="228"/>
      <c r="GXT34" s="228"/>
      <c r="GXU34" s="228"/>
      <c r="GXV34" s="228"/>
      <c r="GXW34" s="228"/>
      <c r="GXX34" s="228"/>
      <c r="GXY34" s="228"/>
      <c r="GXZ34" s="228"/>
      <c r="GYA34" s="228"/>
      <c r="GYB34" s="228"/>
      <c r="GYC34" s="228"/>
      <c r="GYD34" s="228"/>
      <c r="GYE34" s="228"/>
      <c r="GYF34" s="228"/>
      <c r="GYG34" s="228"/>
      <c r="GYH34" s="228"/>
      <c r="GYI34" s="228"/>
      <c r="GYJ34" s="228"/>
      <c r="GYK34" s="228"/>
      <c r="GYL34" s="228"/>
      <c r="GYM34" s="228"/>
      <c r="GYN34" s="228"/>
      <c r="GYO34" s="228"/>
      <c r="GYP34" s="228"/>
      <c r="GYQ34" s="228"/>
      <c r="GYR34" s="228"/>
      <c r="GYS34" s="228"/>
      <c r="GYT34" s="228"/>
      <c r="GYU34" s="228"/>
      <c r="GYV34" s="228"/>
      <c r="GYW34" s="228"/>
      <c r="GYX34" s="228"/>
      <c r="GYY34" s="228"/>
      <c r="GYZ34" s="228"/>
      <c r="GZA34" s="228"/>
      <c r="GZB34" s="228"/>
      <c r="GZC34" s="228"/>
      <c r="GZD34" s="228"/>
      <c r="GZE34" s="228"/>
      <c r="GZF34" s="228"/>
      <c r="GZG34" s="228"/>
      <c r="GZH34" s="228"/>
      <c r="GZI34" s="228"/>
      <c r="GZJ34" s="228"/>
      <c r="GZK34" s="228"/>
      <c r="GZL34" s="228"/>
      <c r="GZM34" s="228"/>
      <c r="GZN34" s="228"/>
      <c r="GZO34" s="228"/>
      <c r="GZP34" s="228"/>
      <c r="GZQ34" s="228"/>
      <c r="GZR34" s="228"/>
      <c r="GZS34" s="228"/>
      <c r="GZT34" s="228"/>
      <c r="GZU34" s="228"/>
      <c r="GZV34" s="228"/>
      <c r="GZW34" s="228"/>
      <c r="GZX34" s="228"/>
      <c r="GZY34" s="228"/>
      <c r="GZZ34" s="228"/>
      <c r="HAA34" s="228"/>
      <c r="HAB34" s="228"/>
      <c r="HAC34" s="228"/>
      <c r="HAD34" s="228"/>
      <c r="HAE34" s="228"/>
      <c r="HAF34" s="228"/>
      <c r="HAG34" s="228"/>
      <c r="HAH34" s="228"/>
      <c r="HAI34" s="228"/>
      <c r="HAJ34" s="228"/>
      <c r="HAK34" s="228"/>
      <c r="HAL34" s="228"/>
      <c r="HAM34" s="228"/>
      <c r="HAN34" s="228"/>
      <c r="HAO34" s="228"/>
      <c r="HAP34" s="228"/>
      <c r="HAQ34" s="228"/>
      <c r="HAR34" s="228"/>
      <c r="HAS34" s="228"/>
      <c r="HAT34" s="228"/>
      <c r="HAU34" s="228"/>
      <c r="HAV34" s="228"/>
      <c r="HAW34" s="228"/>
      <c r="HAX34" s="228"/>
      <c r="HAY34" s="228"/>
      <c r="HAZ34" s="228"/>
      <c r="HBA34" s="228"/>
      <c r="HBB34" s="228"/>
      <c r="HBC34" s="228"/>
      <c r="HBD34" s="228"/>
      <c r="HBE34" s="228"/>
      <c r="HBF34" s="228"/>
      <c r="HBG34" s="228"/>
      <c r="HBH34" s="228"/>
      <c r="HBI34" s="228"/>
      <c r="HBJ34" s="228"/>
      <c r="HBK34" s="228"/>
      <c r="HBL34" s="228"/>
      <c r="HBM34" s="228"/>
      <c r="HBN34" s="228"/>
      <c r="HBO34" s="228"/>
      <c r="HBP34" s="228"/>
      <c r="HBQ34" s="228"/>
      <c r="HBR34" s="228"/>
      <c r="HBS34" s="228"/>
      <c r="HBT34" s="228"/>
      <c r="HBU34" s="228"/>
      <c r="HBV34" s="228"/>
      <c r="HBW34" s="228"/>
      <c r="HBX34" s="228"/>
      <c r="HBY34" s="228"/>
      <c r="HBZ34" s="228"/>
      <c r="HCA34" s="228"/>
      <c r="HCB34" s="228"/>
      <c r="HCC34" s="228"/>
      <c r="HCD34" s="228"/>
      <c r="HCE34" s="228"/>
      <c r="HCF34" s="228"/>
      <c r="HCG34" s="228"/>
      <c r="HCH34" s="228"/>
      <c r="HCI34" s="228"/>
      <c r="HCJ34" s="228"/>
      <c r="HCK34" s="228"/>
      <c r="HCL34" s="228"/>
      <c r="HCM34" s="228"/>
      <c r="HCN34" s="228"/>
      <c r="HCO34" s="228"/>
      <c r="HCP34" s="228"/>
      <c r="HCQ34" s="228"/>
      <c r="HCR34" s="228"/>
      <c r="HCS34" s="228"/>
      <c r="HCT34" s="228"/>
      <c r="HCU34" s="228"/>
      <c r="HCV34" s="228"/>
      <c r="HCW34" s="228"/>
      <c r="HCX34" s="228"/>
      <c r="HCY34" s="228"/>
      <c r="HCZ34" s="228"/>
      <c r="HDA34" s="228"/>
      <c r="HDB34" s="228"/>
      <c r="HDC34" s="228"/>
      <c r="HDD34" s="228"/>
      <c r="HDE34" s="228"/>
      <c r="HDF34" s="228"/>
      <c r="HDG34" s="228"/>
      <c r="HDH34" s="228"/>
      <c r="HDI34" s="228"/>
      <c r="HDJ34" s="228"/>
      <c r="HDK34" s="228"/>
      <c r="HDL34" s="228"/>
      <c r="HDM34" s="228"/>
      <c r="HDN34" s="228"/>
      <c r="HDO34" s="228"/>
      <c r="HDP34" s="228"/>
      <c r="HDQ34" s="228"/>
      <c r="HDR34" s="228"/>
      <c r="HDS34" s="228"/>
      <c r="HDT34" s="228"/>
      <c r="HDU34" s="228"/>
      <c r="HDV34" s="228"/>
      <c r="HDW34" s="228"/>
      <c r="HDX34" s="228"/>
      <c r="HDY34" s="228"/>
      <c r="HDZ34" s="228"/>
      <c r="HEA34" s="228"/>
      <c r="HEB34" s="228"/>
      <c r="HEC34" s="228"/>
      <c r="HED34" s="228"/>
      <c r="HEE34" s="228"/>
      <c r="HEF34" s="228"/>
      <c r="HEG34" s="228"/>
      <c r="HEH34" s="228"/>
      <c r="HEI34" s="228"/>
      <c r="HEJ34" s="228"/>
      <c r="HEK34" s="228"/>
      <c r="HEL34" s="228"/>
      <c r="HEM34" s="228"/>
      <c r="HEN34" s="228"/>
      <c r="HEO34" s="228"/>
      <c r="HEP34" s="228"/>
      <c r="HEQ34" s="228"/>
      <c r="HER34" s="228"/>
      <c r="HES34" s="228"/>
      <c r="HET34" s="228"/>
      <c r="HEU34" s="228"/>
      <c r="HEV34" s="228"/>
      <c r="HEW34" s="228"/>
      <c r="HEX34" s="228"/>
      <c r="HEY34" s="228"/>
      <c r="HEZ34" s="228"/>
      <c r="HFA34" s="228"/>
      <c r="HFB34" s="228"/>
      <c r="HFC34" s="228"/>
      <c r="HFD34" s="228"/>
      <c r="HFE34" s="228"/>
      <c r="HFF34" s="228"/>
      <c r="HFG34" s="228"/>
      <c r="HFH34" s="228"/>
      <c r="HFI34" s="228"/>
      <c r="HFJ34" s="228"/>
      <c r="HFK34" s="228"/>
      <c r="HFL34" s="228"/>
      <c r="HFM34" s="228"/>
      <c r="HFN34" s="228"/>
      <c r="HFO34" s="228"/>
      <c r="HFP34" s="228"/>
      <c r="HFQ34" s="228"/>
      <c r="HFR34" s="228"/>
      <c r="HFS34" s="228"/>
      <c r="HFT34" s="228"/>
      <c r="HFU34" s="228"/>
      <c r="HFV34" s="228"/>
      <c r="HFW34" s="228"/>
      <c r="HFX34" s="228"/>
      <c r="HFY34" s="228"/>
      <c r="HFZ34" s="228"/>
      <c r="HGA34" s="228"/>
      <c r="HGB34" s="228"/>
      <c r="HGC34" s="228"/>
      <c r="HGD34" s="228"/>
      <c r="HGE34" s="228"/>
      <c r="HGF34" s="228"/>
      <c r="HGG34" s="228"/>
      <c r="HGH34" s="228"/>
      <c r="HGI34" s="228"/>
      <c r="HGJ34" s="228"/>
      <c r="HGK34" s="228"/>
      <c r="HGL34" s="228"/>
      <c r="HGM34" s="228"/>
      <c r="HGN34" s="228"/>
      <c r="HGO34" s="228"/>
      <c r="HGP34" s="228"/>
      <c r="HGQ34" s="228"/>
      <c r="HGR34" s="228"/>
      <c r="HGS34" s="228"/>
      <c r="HGT34" s="228"/>
      <c r="HGU34" s="228"/>
      <c r="HGV34" s="228"/>
      <c r="HGW34" s="228"/>
      <c r="HGX34" s="228"/>
      <c r="HGY34" s="228"/>
      <c r="HGZ34" s="228"/>
      <c r="HHA34" s="228"/>
      <c r="HHB34" s="228"/>
      <c r="HHC34" s="228"/>
      <c r="HHD34" s="228"/>
      <c r="HHE34" s="228"/>
      <c r="HHF34" s="228"/>
      <c r="HHG34" s="228"/>
      <c r="HHH34" s="228"/>
      <c r="HHI34" s="228"/>
      <c r="HHJ34" s="228"/>
      <c r="HHK34" s="228"/>
      <c r="HHL34" s="228"/>
      <c r="HHM34" s="228"/>
      <c r="HHN34" s="228"/>
      <c r="HHO34" s="228"/>
      <c r="HHP34" s="228"/>
      <c r="HHQ34" s="228"/>
      <c r="HHR34" s="228"/>
      <c r="HHS34" s="228"/>
      <c r="HHT34" s="228"/>
      <c r="HHU34" s="228"/>
      <c r="HHV34" s="228"/>
      <c r="HHW34" s="228"/>
      <c r="HHX34" s="228"/>
      <c r="HHY34" s="228"/>
      <c r="HHZ34" s="228"/>
      <c r="HIA34" s="228"/>
      <c r="HIB34" s="228"/>
      <c r="HIC34" s="228"/>
      <c r="HID34" s="228"/>
      <c r="HIE34" s="228"/>
      <c r="HIF34" s="228"/>
      <c r="HIG34" s="228"/>
      <c r="HIH34" s="228"/>
      <c r="HII34" s="228"/>
      <c r="HIJ34" s="228"/>
      <c r="HIK34" s="228"/>
      <c r="HIL34" s="228"/>
      <c r="HIM34" s="228"/>
      <c r="HIN34" s="228"/>
      <c r="HIO34" s="228"/>
      <c r="HIP34" s="228"/>
      <c r="HIQ34" s="228"/>
      <c r="HIR34" s="228"/>
      <c r="HIS34" s="228"/>
      <c r="HIT34" s="228"/>
      <c r="HIU34" s="228"/>
      <c r="HIV34" s="228"/>
      <c r="HIW34" s="228"/>
      <c r="HIX34" s="228"/>
      <c r="HIY34" s="228"/>
      <c r="HIZ34" s="228"/>
      <c r="HJA34" s="228"/>
      <c r="HJB34" s="228"/>
      <c r="HJC34" s="228"/>
      <c r="HJD34" s="228"/>
      <c r="HJE34" s="228"/>
      <c r="HJF34" s="228"/>
      <c r="HJG34" s="228"/>
      <c r="HJH34" s="228"/>
      <c r="HJI34" s="228"/>
      <c r="HJJ34" s="228"/>
      <c r="HJK34" s="228"/>
      <c r="HJL34" s="228"/>
      <c r="HJM34" s="228"/>
      <c r="HJN34" s="228"/>
      <c r="HJO34" s="228"/>
      <c r="HJP34" s="228"/>
      <c r="HJQ34" s="228"/>
      <c r="HJR34" s="228"/>
      <c r="HJS34" s="228"/>
      <c r="HJT34" s="228"/>
      <c r="HJU34" s="228"/>
      <c r="HJV34" s="228"/>
      <c r="HJW34" s="228"/>
      <c r="HJX34" s="228"/>
      <c r="HJY34" s="228"/>
      <c r="HJZ34" s="228"/>
      <c r="HKA34" s="228"/>
      <c r="HKB34" s="228"/>
      <c r="HKC34" s="228"/>
      <c r="HKD34" s="228"/>
      <c r="HKE34" s="228"/>
      <c r="HKF34" s="228"/>
      <c r="HKG34" s="228"/>
      <c r="HKH34" s="228"/>
      <c r="HKI34" s="228"/>
      <c r="HKJ34" s="228"/>
      <c r="HKK34" s="228"/>
      <c r="HKL34" s="228"/>
      <c r="HKM34" s="228"/>
      <c r="HKN34" s="228"/>
      <c r="HKO34" s="228"/>
      <c r="HKP34" s="228"/>
      <c r="HKQ34" s="228"/>
      <c r="HKR34" s="228"/>
      <c r="HKS34" s="228"/>
      <c r="HKT34" s="228"/>
      <c r="HKU34" s="228"/>
      <c r="HKV34" s="228"/>
      <c r="HKW34" s="228"/>
      <c r="HKX34" s="228"/>
      <c r="HKY34" s="228"/>
      <c r="HKZ34" s="228"/>
      <c r="HLA34" s="228"/>
      <c r="HLB34" s="228"/>
      <c r="HLC34" s="228"/>
      <c r="HLD34" s="228"/>
      <c r="HLE34" s="228"/>
      <c r="HLF34" s="228"/>
      <c r="HLG34" s="228"/>
      <c r="HLH34" s="228"/>
      <c r="HLI34" s="228"/>
      <c r="HLJ34" s="228"/>
      <c r="HLK34" s="228"/>
      <c r="HLL34" s="228"/>
      <c r="HLM34" s="228"/>
      <c r="HLN34" s="228"/>
      <c r="HLO34" s="228"/>
      <c r="HLP34" s="228"/>
      <c r="HLQ34" s="228"/>
      <c r="HLR34" s="228"/>
      <c r="HLS34" s="228"/>
      <c r="HLT34" s="228"/>
      <c r="HLU34" s="228"/>
      <c r="HLV34" s="228"/>
      <c r="HLW34" s="228"/>
      <c r="HLX34" s="228"/>
      <c r="HLY34" s="228"/>
      <c r="HLZ34" s="228"/>
      <c r="HMA34" s="228"/>
      <c r="HMB34" s="228"/>
      <c r="HMC34" s="228"/>
      <c r="HMD34" s="228"/>
      <c r="HME34" s="228"/>
      <c r="HMF34" s="228"/>
      <c r="HMG34" s="228"/>
      <c r="HMH34" s="228"/>
      <c r="HMI34" s="228"/>
      <c r="HMJ34" s="228"/>
      <c r="HMK34" s="228"/>
      <c r="HML34" s="228"/>
      <c r="HMM34" s="228"/>
      <c r="HMN34" s="228"/>
      <c r="HMO34" s="228"/>
      <c r="HMP34" s="228"/>
      <c r="HMQ34" s="228"/>
      <c r="HMR34" s="228"/>
      <c r="HMS34" s="228"/>
      <c r="HMT34" s="228"/>
      <c r="HMU34" s="228"/>
      <c r="HMV34" s="228"/>
      <c r="HMW34" s="228"/>
      <c r="HMX34" s="228"/>
      <c r="HMY34" s="228"/>
      <c r="HMZ34" s="228"/>
      <c r="HNA34" s="228"/>
      <c r="HNB34" s="228"/>
      <c r="HNC34" s="228"/>
      <c r="HND34" s="228"/>
      <c r="HNE34" s="228"/>
      <c r="HNF34" s="228"/>
      <c r="HNG34" s="228"/>
      <c r="HNH34" s="228"/>
      <c r="HNI34" s="228"/>
      <c r="HNJ34" s="228"/>
      <c r="HNK34" s="228"/>
      <c r="HNL34" s="228"/>
      <c r="HNM34" s="228"/>
      <c r="HNN34" s="228"/>
      <c r="HNO34" s="228"/>
      <c r="HNP34" s="228"/>
      <c r="HNQ34" s="228"/>
      <c r="HNR34" s="228"/>
      <c r="HNS34" s="228"/>
      <c r="HNT34" s="228"/>
      <c r="HNU34" s="228"/>
      <c r="HNV34" s="228"/>
      <c r="HNW34" s="228"/>
      <c r="HNX34" s="228"/>
      <c r="HNY34" s="228"/>
      <c r="HNZ34" s="228"/>
      <c r="HOA34" s="228"/>
      <c r="HOB34" s="228"/>
      <c r="HOC34" s="228"/>
      <c r="HOD34" s="228"/>
      <c r="HOE34" s="228"/>
      <c r="HOF34" s="228"/>
      <c r="HOG34" s="228"/>
      <c r="HOH34" s="228"/>
      <c r="HOI34" s="228"/>
      <c r="HOJ34" s="228"/>
      <c r="HOK34" s="228"/>
      <c r="HOL34" s="228"/>
      <c r="HOM34" s="228"/>
      <c r="HON34" s="228"/>
      <c r="HOO34" s="228"/>
      <c r="HOP34" s="228"/>
      <c r="HOQ34" s="228"/>
      <c r="HOR34" s="228"/>
      <c r="HOS34" s="228"/>
      <c r="HOT34" s="228"/>
      <c r="HOU34" s="228"/>
      <c r="HOV34" s="228"/>
      <c r="HOW34" s="228"/>
      <c r="HOX34" s="228"/>
      <c r="HOY34" s="228"/>
      <c r="HOZ34" s="228"/>
      <c r="HPA34" s="228"/>
      <c r="HPB34" s="228"/>
      <c r="HPC34" s="228"/>
      <c r="HPD34" s="228"/>
      <c r="HPE34" s="228"/>
      <c r="HPF34" s="228"/>
      <c r="HPG34" s="228"/>
      <c r="HPH34" s="228"/>
      <c r="HPI34" s="228"/>
      <c r="HPJ34" s="228"/>
      <c r="HPK34" s="228"/>
      <c r="HPL34" s="228"/>
      <c r="HPM34" s="228"/>
      <c r="HPN34" s="228"/>
      <c r="HPO34" s="228"/>
      <c r="HPP34" s="228"/>
      <c r="HPQ34" s="228"/>
      <c r="HPR34" s="228"/>
      <c r="HPS34" s="228"/>
      <c r="HPT34" s="228"/>
      <c r="HPU34" s="228"/>
      <c r="HPV34" s="228"/>
      <c r="HPW34" s="228"/>
      <c r="HPX34" s="228"/>
      <c r="HPY34" s="228"/>
      <c r="HPZ34" s="228"/>
      <c r="HQA34" s="228"/>
      <c r="HQB34" s="228"/>
      <c r="HQC34" s="228"/>
      <c r="HQD34" s="228"/>
      <c r="HQE34" s="228"/>
      <c r="HQF34" s="228"/>
      <c r="HQG34" s="228"/>
      <c r="HQH34" s="228"/>
      <c r="HQI34" s="228"/>
      <c r="HQJ34" s="228"/>
      <c r="HQK34" s="228"/>
      <c r="HQL34" s="228"/>
      <c r="HQM34" s="228"/>
      <c r="HQN34" s="228"/>
      <c r="HQO34" s="228"/>
      <c r="HQP34" s="228"/>
      <c r="HQQ34" s="228"/>
      <c r="HQR34" s="228"/>
      <c r="HQS34" s="228"/>
      <c r="HQT34" s="228"/>
      <c r="HQU34" s="228"/>
      <c r="HQV34" s="228"/>
      <c r="HQW34" s="228"/>
      <c r="HQX34" s="228"/>
      <c r="HQY34" s="228"/>
      <c r="HQZ34" s="228"/>
      <c r="HRA34" s="228"/>
      <c r="HRB34" s="228"/>
      <c r="HRC34" s="228"/>
      <c r="HRD34" s="228"/>
      <c r="HRE34" s="228"/>
      <c r="HRF34" s="228"/>
      <c r="HRG34" s="228"/>
      <c r="HRH34" s="228"/>
      <c r="HRI34" s="228"/>
      <c r="HRJ34" s="228"/>
      <c r="HRK34" s="228"/>
      <c r="HRL34" s="228"/>
      <c r="HRM34" s="228"/>
      <c r="HRN34" s="228"/>
      <c r="HRO34" s="228"/>
      <c r="HRP34" s="228"/>
      <c r="HRQ34" s="228"/>
      <c r="HRR34" s="228"/>
      <c r="HRS34" s="228"/>
      <c r="HRT34" s="228"/>
      <c r="HRU34" s="228"/>
      <c r="HRV34" s="228"/>
      <c r="HRW34" s="228"/>
      <c r="HRX34" s="228"/>
      <c r="HRY34" s="228"/>
      <c r="HRZ34" s="228"/>
      <c r="HSA34" s="228"/>
      <c r="HSB34" s="228"/>
      <c r="HSC34" s="228"/>
      <c r="HSD34" s="228"/>
      <c r="HSE34" s="228"/>
      <c r="HSF34" s="228"/>
      <c r="HSG34" s="228"/>
      <c r="HSH34" s="228"/>
      <c r="HSI34" s="228"/>
      <c r="HSJ34" s="228"/>
      <c r="HSK34" s="228"/>
      <c r="HSL34" s="228"/>
      <c r="HSM34" s="228"/>
      <c r="HSN34" s="228"/>
      <c r="HSO34" s="228"/>
      <c r="HSP34" s="228"/>
      <c r="HSQ34" s="228"/>
      <c r="HSR34" s="228"/>
      <c r="HSS34" s="228"/>
      <c r="HST34" s="228"/>
      <c r="HSU34" s="228"/>
      <c r="HSV34" s="228"/>
      <c r="HSW34" s="228"/>
      <c r="HSX34" s="228"/>
      <c r="HSY34" s="228"/>
      <c r="HSZ34" s="228"/>
      <c r="HTA34" s="228"/>
      <c r="HTB34" s="228"/>
      <c r="HTC34" s="228"/>
      <c r="HTD34" s="228"/>
      <c r="HTE34" s="228"/>
      <c r="HTF34" s="228"/>
      <c r="HTG34" s="228"/>
      <c r="HTH34" s="228"/>
      <c r="HTI34" s="228"/>
      <c r="HTJ34" s="228"/>
      <c r="HTK34" s="228"/>
      <c r="HTL34" s="228"/>
      <c r="HTM34" s="228"/>
      <c r="HTN34" s="228"/>
      <c r="HTO34" s="228"/>
      <c r="HTP34" s="228"/>
      <c r="HTQ34" s="228"/>
      <c r="HTR34" s="228"/>
      <c r="HTS34" s="228"/>
      <c r="HTT34" s="228"/>
      <c r="HTU34" s="228"/>
      <c r="HTV34" s="228"/>
      <c r="HTW34" s="228"/>
      <c r="HTX34" s="228"/>
      <c r="HTY34" s="228"/>
      <c r="HTZ34" s="228"/>
      <c r="HUA34" s="228"/>
      <c r="HUB34" s="228"/>
      <c r="HUC34" s="228"/>
      <c r="HUD34" s="228"/>
      <c r="HUE34" s="228"/>
      <c r="HUF34" s="228"/>
      <c r="HUG34" s="228"/>
      <c r="HUH34" s="228"/>
      <c r="HUI34" s="228"/>
      <c r="HUJ34" s="228"/>
      <c r="HUK34" s="228"/>
      <c r="HUL34" s="228"/>
      <c r="HUM34" s="228"/>
      <c r="HUN34" s="228"/>
      <c r="HUO34" s="228"/>
      <c r="HUP34" s="228"/>
      <c r="HUQ34" s="228"/>
      <c r="HUR34" s="228"/>
      <c r="HUS34" s="228"/>
      <c r="HUT34" s="228"/>
      <c r="HUU34" s="228"/>
      <c r="HUV34" s="228"/>
      <c r="HUW34" s="228"/>
      <c r="HUX34" s="228"/>
      <c r="HUY34" s="228"/>
      <c r="HUZ34" s="228"/>
      <c r="HVA34" s="228"/>
      <c r="HVB34" s="228"/>
      <c r="HVC34" s="228"/>
      <c r="HVD34" s="228"/>
      <c r="HVE34" s="228"/>
      <c r="HVF34" s="228"/>
      <c r="HVG34" s="228"/>
      <c r="HVH34" s="228"/>
      <c r="HVI34" s="228"/>
      <c r="HVJ34" s="228"/>
      <c r="HVK34" s="228"/>
      <c r="HVL34" s="228"/>
      <c r="HVM34" s="228"/>
      <c r="HVN34" s="228"/>
      <c r="HVO34" s="228"/>
      <c r="HVP34" s="228"/>
      <c r="HVQ34" s="228"/>
      <c r="HVR34" s="228"/>
      <c r="HVS34" s="228"/>
      <c r="HVT34" s="228"/>
      <c r="HVU34" s="228"/>
      <c r="HVV34" s="228"/>
      <c r="HVW34" s="228"/>
      <c r="HVX34" s="228"/>
      <c r="HVY34" s="228"/>
      <c r="HVZ34" s="228"/>
      <c r="HWA34" s="228"/>
      <c r="HWB34" s="228"/>
      <c r="HWC34" s="228"/>
      <c r="HWD34" s="228"/>
      <c r="HWE34" s="228"/>
      <c r="HWF34" s="228"/>
      <c r="HWG34" s="228"/>
      <c r="HWH34" s="228"/>
      <c r="HWI34" s="228"/>
      <c r="HWJ34" s="228"/>
      <c r="HWK34" s="228"/>
      <c r="HWL34" s="228"/>
      <c r="HWM34" s="228"/>
      <c r="HWN34" s="228"/>
      <c r="HWO34" s="228"/>
      <c r="HWP34" s="228"/>
      <c r="HWQ34" s="228"/>
      <c r="HWR34" s="228"/>
      <c r="HWS34" s="228"/>
      <c r="HWT34" s="228"/>
      <c r="HWU34" s="228"/>
      <c r="HWV34" s="228"/>
      <c r="HWW34" s="228"/>
      <c r="HWX34" s="228"/>
      <c r="HWY34" s="228"/>
      <c r="HWZ34" s="228"/>
      <c r="HXA34" s="228"/>
      <c r="HXB34" s="228"/>
      <c r="HXC34" s="228"/>
      <c r="HXD34" s="228"/>
      <c r="HXE34" s="228"/>
      <c r="HXF34" s="228"/>
      <c r="HXG34" s="228"/>
      <c r="HXH34" s="228"/>
      <c r="HXI34" s="228"/>
      <c r="HXJ34" s="228"/>
      <c r="HXK34" s="228"/>
      <c r="HXL34" s="228"/>
      <c r="HXM34" s="228"/>
      <c r="HXN34" s="228"/>
      <c r="HXO34" s="228"/>
      <c r="HXP34" s="228"/>
      <c r="HXQ34" s="228"/>
      <c r="HXR34" s="228"/>
      <c r="HXS34" s="228"/>
      <c r="HXT34" s="228"/>
      <c r="HXU34" s="228"/>
      <c r="HXV34" s="228"/>
      <c r="HXW34" s="228"/>
      <c r="HXX34" s="228"/>
      <c r="HXY34" s="228"/>
      <c r="HXZ34" s="228"/>
      <c r="HYA34" s="228"/>
      <c r="HYB34" s="228"/>
      <c r="HYC34" s="228"/>
      <c r="HYD34" s="228"/>
      <c r="HYE34" s="228"/>
      <c r="HYF34" s="228"/>
      <c r="HYG34" s="228"/>
      <c r="HYH34" s="228"/>
      <c r="HYI34" s="228"/>
      <c r="HYJ34" s="228"/>
      <c r="HYK34" s="228"/>
      <c r="HYL34" s="228"/>
      <c r="HYM34" s="228"/>
      <c r="HYN34" s="228"/>
      <c r="HYO34" s="228"/>
      <c r="HYP34" s="228"/>
      <c r="HYQ34" s="228"/>
      <c r="HYR34" s="228"/>
      <c r="HYS34" s="228"/>
      <c r="HYT34" s="228"/>
      <c r="HYU34" s="228"/>
      <c r="HYV34" s="228"/>
      <c r="HYW34" s="228"/>
      <c r="HYX34" s="228"/>
      <c r="HYY34" s="228"/>
      <c r="HYZ34" s="228"/>
      <c r="HZA34" s="228"/>
      <c r="HZB34" s="228"/>
      <c r="HZC34" s="228"/>
      <c r="HZD34" s="228"/>
      <c r="HZE34" s="228"/>
      <c r="HZF34" s="228"/>
      <c r="HZG34" s="228"/>
      <c r="HZH34" s="228"/>
      <c r="HZI34" s="228"/>
      <c r="HZJ34" s="228"/>
      <c r="HZK34" s="228"/>
      <c r="HZL34" s="228"/>
      <c r="HZM34" s="228"/>
      <c r="HZN34" s="228"/>
      <c r="HZO34" s="228"/>
      <c r="HZP34" s="228"/>
      <c r="HZQ34" s="228"/>
      <c r="HZR34" s="228"/>
      <c r="HZS34" s="228"/>
      <c r="HZT34" s="228"/>
      <c r="HZU34" s="228"/>
      <c r="HZV34" s="228"/>
      <c r="HZW34" s="228"/>
      <c r="HZX34" s="228"/>
      <c r="HZY34" s="228"/>
      <c r="HZZ34" s="228"/>
      <c r="IAA34" s="228"/>
      <c r="IAB34" s="228"/>
      <c r="IAC34" s="228"/>
      <c r="IAD34" s="228"/>
      <c r="IAE34" s="228"/>
      <c r="IAF34" s="228"/>
      <c r="IAG34" s="228"/>
      <c r="IAH34" s="228"/>
      <c r="IAI34" s="228"/>
      <c r="IAJ34" s="228"/>
      <c r="IAK34" s="228"/>
      <c r="IAL34" s="228"/>
      <c r="IAM34" s="228"/>
      <c r="IAN34" s="228"/>
      <c r="IAO34" s="228"/>
      <c r="IAP34" s="228"/>
      <c r="IAQ34" s="228"/>
      <c r="IAR34" s="228"/>
      <c r="IAS34" s="228"/>
      <c r="IAT34" s="228"/>
      <c r="IAU34" s="228"/>
      <c r="IAV34" s="228"/>
      <c r="IAW34" s="228"/>
      <c r="IAX34" s="228"/>
      <c r="IAY34" s="228"/>
      <c r="IAZ34" s="228"/>
      <c r="IBA34" s="228"/>
      <c r="IBB34" s="228"/>
      <c r="IBC34" s="228"/>
      <c r="IBD34" s="228"/>
      <c r="IBE34" s="228"/>
      <c r="IBF34" s="228"/>
      <c r="IBG34" s="228"/>
      <c r="IBH34" s="228"/>
      <c r="IBI34" s="228"/>
      <c r="IBJ34" s="228"/>
      <c r="IBK34" s="228"/>
      <c r="IBL34" s="228"/>
      <c r="IBM34" s="228"/>
      <c r="IBN34" s="228"/>
      <c r="IBO34" s="228"/>
      <c r="IBP34" s="228"/>
      <c r="IBQ34" s="228"/>
      <c r="IBR34" s="228"/>
      <c r="IBS34" s="228"/>
      <c r="IBT34" s="228"/>
      <c r="IBU34" s="228"/>
      <c r="IBV34" s="228"/>
      <c r="IBW34" s="228"/>
      <c r="IBX34" s="228"/>
      <c r="IBY34" s="228"/>
      <c r="IBZ34" s="228"/>
      <c r="ICA34" s="228"/>
      <c r="ICB34" s="228"/>
      <c r="ICC34" s="228"/>
      <c r="ICD34" s="228"/>
      <c r="ICE34" s="228"/>
      <c r="ICF34" s="228"/>
      <c r="ICG34" s="228"/>
      <c r="ICH34" s="228"/>
      <c r="ICI34" s="228"/>
      <c r="ICJ34" s="228"/>
      <c r="ICK34" s="228"/>
      <c r="ICL34" s="228"/>
      <c r="ICM34" s="228"/>
      <c r="ICN34" s="228"/>
      <c r="ICO34" s="228"/>
      <c r="ICP34" s="228"/>
      <c r="ICQ34" s="228"/>
      <c r="ICR34" s="228"/>
      <c r="ICS34" s="228"/>
      <c r="ICT34" s="228"/>
      <c r="ICU34" s="228"/>
      <c r="ICV34" s="228"/>
      <c r="ICW34" s="228"/>
      <c r="ICX34" s="228"/>
      <c r="ICY34" s="228"/>
      <c r="ICZ34" s="228"/>
      <c r="IDA34" s="228"/>
      <c r="IDB34" s="228"/>
      <c r="IDC34" s="228"/>
      <c r="IDD34" s="228"/>
      <c r="IDE34" s="228"/>
      <c r="IDF34" s="228"/>
      <c r="IDG34" s="228"/>
      <c r="IDH34" s="228"/>
      <c r="IDI34" s="228"/>
      <c r="IDJ34" s="228"/>
      <c r="IDK34" s="228"/>
      <c r="IDL34" s="228"/>
      <c r="IDM34" s="228"/>
      <c r="IDN34" s="228"/>
      <c r="IDO34" s="228"/>
      <c r="IDP34" s="228"/>
      <c r="IDQ34" s="228"/>
      <c r="IDR34" s="228"/>
      <c r="IDS34" s="228"/>
      <c r="IDT34" s="228"/>
      <c r="IDU34" s="228"/>
      <c r="IDV34" s="228"/>
      <c r="IDW34" s="228"/>
      <c r="IDX34" s="228"/>
      <c r="IDY34" s="228"/>
      <c r="IDZ34" s="228"/>
      <c r="IEA34" s="228"/>
      <c r="IEB34" s="228"/>
      <c r="IEC34" s="228"/>
      <c r="IED34" s="228"/>
      <c r="IEE34" s="228"/>
      <c r="IEF34" s="228"/>
      <c r="IEG34" s="228"/>
      <c r="IEH34" s="228"/>
      <c r="IEI34" s="228"/>
      <c r="IEJ34" s="228"/>
      <c r="IEK34" s="228"/>
      <c r="IEL34" s="228"/>
      <c r="IEM34" s="228"/>
      <c r="IEN34" s="228"/>
      <c r="IEO34" s="228"/>
      <c r="IEP34" s="228"/>
      <c r="IEQ34" s="228"/>
      <c r="IER34" s="228"/>
      <c r="IES34" s="228"/>
      <c r="IET34" s="228"/>
      <c r="IEU34" s="228"/>
      <c r="IEV34" s="228"/>
      <c r="IEW34" s="228"/>
      <c r="IEX34" s="228"/>
      <c r="IEY34" s="228"/>
      <c r="IEZ34" s="228"/>
      <c r="IFA34" s="228"/>
      <c r="IFB34" s="228"/>
      <c r="IFC34" s="228"/>
      <c r="IFD34" s="228"/>
      <c r="IFE34" s="228"/>
      <c r="IFF34" s="228"/>
      <c r="IFG34" s="228"/>
      <c r="IFH34" s="228"/>
      <c r="IFI34" s="228"/>
      <c r="IFJ34" s="228"/>
      <c r="IFK34" s="228"/>
      <c r="IFL34" s="228"/>
      <c r="IFM34" s="228"/>
      <c r="IFN34" s="228"/>
      <c r="IFO34" s="228"/>
      <c r="IFP34" s="228"/>
      <c r="IFQ34" s="228"/>
      <c r="IFR34" s="228"/>
      <c r="IFS34" s="228"/>
      <c r="IFT34" s="228"/>
      <c r="IFU34" s="228"/>
      <c r="IFV34" s="228"/>
      <c r="IFW34" s="228"/>
      <c r="IFX34" s="228"/>
      <c r="IFY34" s="228"/>
      <c r="IFZ34" s="228"/>
      <c r="IGA34" s="228"/>
      <c r="IGB34" s="228"/>
      <c r="IGC34" s="228"/>
      <c r="IGD34" s="228"/>
      <c r="IGE34" s="228"/>
      <c r="IGF34" s="228"/>
      <c r="IGG34" s="228"/>
      <c r="IGH34" s="228"/>
      <c r="IGI34" s="228"/>
      <c r="IGJ34" s="228"/>
      <c r="IGK34" s="228"/>
      <c r="IGL34" s="228"/>
      <c r="IGM34" s="228"/>
      <c r="IGN34" s="228"/>
      <c r="IGO34" s="228"/>
      <c r="IGP34" s="228"/>
      <c r="IGQ34" s="228"/>
      <c r="IGR34" s="228"/>
      <c r="IGS34" s="228"/>
      <c r="IGT34" s="228"/>
      <c r="IGU34" s="228"/>
      <c r="IGV34" s="228"/>
      <c r="IGW34" s="228"/>
      <c r="IGX34" s="228"/>
      <c r="IGY34" s="228"/>
      <c r="IGZ34" s="228"/>
      <c r="IHA34" s="228"/>
      <c r="IHB34" s="228"/>
      <c r="IHC34" s="228"/>
      <c r="IHD34" s="228"/>
      <c r="IHE34" s="228"/>
      <c r="IHF34" s="228"/>
      <c r="IHG34" s="228"/>
      <c r="IHH34" s="228"/>
      <c r="IHI34" s="228"/>
      <c r="IHJ34" s="228"/>
      <c r="IHK34" s="228"/>
      <c r="IHL34" s="228"/>
      <c r="IHM34" s="228"/>
      <c r="IHN34" s="228"/>
      <c r="IHO34" s="228"/>
      <c r="IHP34" s="228"/>
      <c r="IHQ34" s="228"/>
      <c r="IHR34" s="228"/>
      <c r="IHS34" s="228"/>
      <c r="IHT34" s="228"/>
      <c r="IHU34" s="228"/>
      <c r="IHV34" s="228"/>
      <c r="IHW34" s="228"/>
      <c r="IHX34" s="228"/>
      <c r="IHY34" s="228"/>
      <c r="IHZ34" s="228"/>
      <c r="IIA34" s="228"/>
      <c r="IIB34" s="228"/>
      <c r="IIC34" s="228"/>
      <c r="IID34" s="228"/>
      <c r="IIE34" s="228"/>
      <c r="IIF34" s="228"/>
      <c r="IIG34" s="228"/>
      <c r="IIH34" s="228"/>
      <c r="III34" s="228"/>
      <c r="IIJ34" s="228"/>
      <c r="IIK34" s="228"/>
      <c r="IIL34" s="228"/>
      <c r="IIM34" s="228"/>
      <c r="IIN34" s="228"/>
      <c r="IIO34" s="228"/>
      <c r="IIP34" s="228"/>
      <c r="IIQ34" s="228"/>
      <c r="IIR34" s="228"/>
      <c r="IIS34" s="228"/>
      <c r="IIT34" s="228"/>
      <c r="IIU34" s="228"/>
      <c r="IIV34" s="228"/>
      <c r="IIW34" s="228"/>
      <c r="IIX34" s="228"/>
      <c r="IIY34" s="228"/>
      <c r="IIZ34" s="228"/>
      <c r="IJA34" s="228"/>
      <c r="IJB34" s="228"/>
      <c r="IJC34" s="228"/>
      <c r="IJD34" s="228"/>
      <c r="IJE34" s="228"/>
      <c r="IJF34" s="228"/>
      <c r="IJG34" s="228"/>
      <c r="IJH34" s="228"/>
      <c r="IJI34" s="228"/>
      <c r="IJJ34" s="228"/>
      <c r="IJK34" s="228"/>
      <c r="IJL34" s="228"/>
      <c r="IJM34" s="228"/>
      <c r="IJN34" s="228"/>
      <c r="IJO34" s="228"/>
      <c r="IJP34" s="228"/>
      <c r="IJQ34" s="228"/>
      <c r="IJR34" s="228"/>
      <c r="IJS34" s="228"/>
      <c r="IJT34" s="228"/>
      <c r="IJU34" s="228"/>
      <c r="IJV34" s="228"/>
      <c r="IJW34" s="228"/>
      <c r="IJX34" s="228"/>
      <c r="IJY34" s="228"/>
      <c r="IJZ34" s="228"/>
      <c r="IKA34" s="228"/>
      <c r="IKB34" s="228"/>
      <c r="IKC34" s="228"/>
      <c r="IKD34" s="228"/>
      <c r="IKE34" s="228"/>
      <c r="IKF34" s="228"/>
      <c r="IKG34" s="228"/>
      <c r="IKH34" s="228"/>
      <c r="IKI34" s="228"/>
      <c r="IKJ34" s="228"/>
      <c r="IKK34" s="228"/>
      <c r="IKL34" s="228"/>
      <c r="IKM34" s="228"/>
      <c r="IKN34" s="228"/>
      <c r="IKO34" s="228"/>
      <c r="IKP34" s="228"/>
      <c r="IKQ34" s="228"/>
      <c r="IKR34" s="228"/>
      <c r="IKS34" s="228"/>
      <c r="IKT34" s="228"/>
      <c r="IKU34" s="228"/>
      <c r="IKV34" s="228"/>
      <c r="IKW34" s="228"/>
      <c r="IKX34" s="228"/>
      <c r="IKY34" s="228"/>
      <c r="IKZ34" s="228"/>
      <c r="ILA34" s="228"/>
      <c r="ILB34" s="228"/>
      <c r="ILC34" s="228"/>
      <c r="ILD34" s="228"/>
      <c r="ILE34" s="228"/>
      <c r="ILF34" s="228"/>
      <c r="ILG34" s="228"/>
      <c r="ILH34" s="228"/>
      <c r="ILI34" s="228"/>
      <c r="ILJ34" s="228"/>
      <c r="ILK34" s="228"/>
      <c r="ILL34" s="228"/>
      <c r="ILM34" s="228"/>
      <c r="ILN34" s="228"/>
      <c r="ILO34" s="228"/>
      <c r="ILP34" s="228"/>
      <c r="ILQ34" s="228"/>
      <c r="ILR34" s="228"/>
      <c r="ILS34" s="228"/>
      <c r="ILT34" s="228"/>
      <c r="ILU34" s="228"/>
      <c r="ILV34" s="228"/>
      <c r="ILW34" s="228"/>
      <c r="ILX34" s="228"/>
      <c r="ILY34" s="228"/>
      <c r="ILZ34" s="228"/>
      <c r="IMA34" s="228"/>
      <c r="IMB34" s="228"/>
      <c r="IMC34" s="228"/>
      <c r="IMD34" s="228"/>
      <c r="IME34" s="228"/>
      <c r="IMF34" s="228"/>
      <c r="IMG34" s="228"/>
      <c r="IMH34" s="228"/>
      <c r="IMI34" s="228"/>
      <c r="IMJ34" s="228"/>
      <c r="IMK34" s="228"/>
      <c r="IML34" s="228"/>
      <c r="IMM34" s="228"/>
      <c r="IMN34" s="228"/>
      <c r="IMO34" s="228"/>
      <c r="IMP34" s="228"/>
      <c r="IMQ34" s="228"/>
      <c r="IMR34" s="228"/>
      <c r="IMS34" s="228"/>
      <c r="IMT34" s="228"/>
      <c r="IMU34" s="228"/>
      <c r="IMV34" s="228"/>
      <c r="IMW34" s="228"/>
      <c r="IMX34" s="228"/>
      <c r="IMY34" s="228"/>
      <c r="IMZ34" s="228"/>
      <c r="INA34" s="228"/>
      <c r="INB34" s="228"/>
      <c r="INC34" s="228"/>
      <c r="IND34" s="228"/>
      <c r="INE34" s="228"/>
      <c r="INF34" s="228"/>
      <c r="ING34" s="228"/>
      <c r="INH34" s="228"/>
      <c r="INI34" s="228"/>
      <c r="INJ34" s="228"/>
      <c r="INK34" s="228"/>
      <c r="INL34" s="228"/>
      <c r="INM34" s="228"/>
      <c r="INN34" s="228"/>
      <c r="INO34" s="228"/>
      <c r="INP34" s="228"/>
      <c r="INQ34" s="228"/>
      <c r="INR34" s="228"/>
      <c r="INS34" s="228"/>
      <c r="INT34" s="228"/>
      <c r="INU34" s="228"/>
      <c r="INV34" s="228"/>
      <c r="INW34" s="228"/>
      <c r="INX34" s="228"/>
      <c r="INY34" s="228"/>
      <c r="INZ34" s="228"/>
      <c r="IOA34" s="228"/>
      <c r="IOB34" s="228"/>
      <c r="IOC34" s="228"/>
      <c r="IOD34" s="228"/>
      <c r="IOE34" s="228"/>
      <c r="IOF34" s="228"/>
      <c r="IOG34" s="228"/>
      <c r="IOH34" s="228"/>
      <c r="IOI34" s="228"/>
      <c r="IOJ34" s="228"/>
      <c r="IOK34" s="228"/>
      <c r="IOL34" s="228"/>
      <c r="IOM34" s="228"/>
      <c r="ION34" s="228"/>
      <c r="IOO34" s="228"/>
      <c r="IOP34" s="228"/>
      <c r="IOQ34" s="228"/>
      <c r="IOR34" s="228"/>
      <c r="IOS34" s="228"/>
      <c r="IOT34" s="228"/>
      <c r="IOU34" s="228"/>
      <c r="IOV34" s="228"/>
      <c r="IOW34" s="228"/>
      <c r="IOX34" s="228"/>
      <c r="IOY34" s="228"/>
      <c r="IOZ34" s="228"/>
      <c r="IPA34" s="228"/>
      <c r="IPB34" s="228"/>
      <c r="IPC34" s="228"/>
      <c r="IPD34" s="228"/>
      <c r="IPE34" s="228"/>
      <c r="IPF34" s="228"/>
      <c r="IPG34" s="228"/>
      <c r="IPH34" s="228"/>
      <c r="IPI34" s="228"/>
      <c r="IPJ34" s="228"/>
      <c r="IPK34" s="228"/>
      <c r="IPL34" s="228"/>
      <c r="IPM34" s="228"/>
      <c r="IPN34" s="228"/>
      <c r="IPO34" s="228"/>
      <c r="IPP34" s="228"/>
      <c r="IPQ34" s="228"/>
      <c r="IPR34" s="228"/>
      <c r="IPS34" s="228"/>
      <c r="IPT34" s="228"/>
      <c r="IPU34" s="228"/>
      <c r="IPV34" s="228"/>
      <c r="IPW34" s="228"/>
      <c r="IPX34" s="228"/>
      <c r="IPY34" s="228"/>
      <c r="IPZ34" s="228"/>
      <c r="IQA34" s="228"/>
      <c r="IQB34" s="228"/>
      <c r="IQC34" s="228"/>
      <c r="IQD34" s="228"/>
      <c r="IQE34" s="228"/>
      <c r="IQF34" s="228"/>
      <c r="IQG34" s="228"/>
      <c r="IQH34" s="228"/>
      <c r="IQI34" s="228"/>
      <c r="IQJ34" s="228"/>
      <c r="IQK34" s="228"/>
      <c r="IQL34" s="228"/>
      <c r="IQM34" s="228"/>
      <c r="IQN34" s="228"/>
      <c r="IQO34" s="228"/>
      <c r="IQP34" s="228"/>
      <c r="IQQ34" s="228"/>
      <c r="IQR34" s="228"/>
      <c r="IQS34" s="228"/>
      <c r="IQT34" s="228"/>
      <c r="IQU34" s="228"/>
      <c r="IQV34" s="228"/>
      <c r="IQW34" s="228"/>
      <c r="IQX34" s="228"/>
      <c r="IQY34" s="228"/>
      <c r="IQZ34" s="228"/>
      <c r="IRA34" s="228"/>
      <c r="IRB34" s="228"/>
      <c r="IRC34" s="228"/>
      <c r="IRD34" s="228"/>
      <c r="IRE34" s="228"/>
      <c r="IRF34" s="228"/>
      <c r="IRG34" s="228"/>
      <c r="IRH34" s="228"/>
      <c r="IRI34" s="228"/>
      <c r="IRJ34" s="228"/>
      <c r="IRK34" s="228"/>
      <c r="IRL34" s="228"/>
      <c r="IRM34" s="228"/>
      <c r="IRN34" s="228"/>
      <c r="IRO34" s="228"/>
      <c r="IRP34" s="228"/>
      <c r="IRQ34" s="228"/>
      <c r="IRR34" s="228"/>
      <c r="IRS34" s="228"/>
      <c r="IRT34" s="228"/>
      <c r="IRU34" s="228"/>
      <c r="IRV34" s="228"/>
      <c r="IRW34" s="228"/>
      <c r="IRX34" s="228"/>
      <c r="IRY34" s="228"/>
      <c r="IRZ34" s="228"/>
      <c r="ISA34" s="228"/>
      <c r="ISB34" s="228"/>
      <c r="ISC34" s="228"/>
      <c r="ISD34" s="228"/>
      <c r="ISE34" s="228"/>
      <c r="ISF34" s="228"/>
      <c r="ISG34" s="228"/>
      <c r="ISH34" s="228"/>
      <c r="ISI34" s="228"/>
      <c r="ISJ34" s="228"/>
      <c r="ISK34" s="228"/>
      <c r="ISL34" s="228"/>
      <c r="ISM34" s="228"/>
      <c r="ISN34" s="228"/>
      <c r="ISO34" s="228"/>
      <c r="ISP34" s="228"/>
      <c r="ISQ34" s="228"/>
      <c r="ISR34" s="228"/>
      <c r="ISS34" s="228"/>
      <c r="IST34" s="228"/>
      <c r="ISU34" s="228"/>
      <c r="ISV34" s="228"/>
      <c r="ISW34" s="228"/>
      <c r="ISX34" s="228"/>
      <c r="ISY34" s="228"/>
      <c r="ISZ34" s="228"/>
      <c r="ITA34" s="228"/>
      <c r="ITB34" s="228"/>
      <c r="ITC34" s="228"/>
      <c r="ITD34" s="228"/>
      <c r="ITE34" s="228"/>
      <c r="ITF34" s="228"/>
      <c r="ITG34" s="228"/>
      <c r="ITH34" s="228"/>
      <c r="ITI34" s="228"/>
      <c r="ITJ34" s="228"/>
      <c r="ITK34" s="228"/>
      <c r="ITL34" s="228"/>
      <c r="ITM34" s="228"/>
      <c r="ITN34" s="228"/>
      <c r="ITO34" s="228"/>
      <c r="ITP34" s="228"/>
      <c r="ITQ34" s="228"/>
      <c r="ITR34" s="228"/>
      <c r="ITS34" s="228"/>
      <c r="ITT34" s="228"/>
      <c r="ITU34" s="228"/>
      <c r="ITV34" s="228"/>
      <c r="ITW34" s="228"/>
      <c r="ITX34" s="228"/>
      <c r="ITY34" s="228"/>
      <c r="ITZ34" s="228"/>
      <c r="IUA34" s="228"/>
      <c r="IUB34" s="228"/>
      <c r="IUC34" s="228"/>
      <c r="IUD34" s="228"/>
      <c r="IUE34" s="228"/>
      <c r="IUF34" s="228"/>
      <c r="IUG34" s="228"/>
      <c r="IUH34" s="228"/>
      <c r="IUI34" s="228"/>
      <c r="IUJ34" s="228"/>
      <c r="IUK34" s="228"/>
      <c r="IUL34" s="228"/>
      <c r="IUM34" s="228"/>
      <c r="IUN34" s="228"/>
      <c r="IUO34" s="228"/>
      <c r="IUP34" s="228"/>
      <c r="IUQ34" s="228"/>
      <c r="IUR34" s="228"/>
      <c r="IUS34" s="228"/>
      <c r="IUT34" s="228"/>
      <c r="IUU34" s="228"/>
      <c r="IUV34" s="228"/>
      <c r="IUW34" s="228"/>
      <c r="IUX34" s="228"/>
      <c r="IUY34" s="228"/>
      <c r="IUZ34" s="228"/>
      <c r="IVA34" s="228"/>
      <c r="IVB34" s="228"/>
      <c r="IVC34" s="228"/>
      <c r="IVD34" s="228"/>
      <c r="IVE34" s="228"/>
      <c r="IVF34" s="228"/>
      <c r="IVG34" s="228"/>
      <c r="IVH34" s="228"/>
      <c r="IVI34" s="228"/>
      <c r="IVJ34" s="228"/>
      <c r="IVK34" s="228"/>
      <c r="IVL34" s="228"/>
      <c r="IVM34" s="228"/>
      <c r="IVN34" s="228"/>
      <c r="IVO34" s="228"/>
      <c r="IVP34" s="228"/>
      <c r="IVQ34" s="228"/>
      <c r="IVR34" s="228"/>
      <c r="IVS34" s="228"/>
      <c r="IVT34" s="228"/>
      <c r="IVU34" s="228"/>
      <c r="IVV34" s="228"/>
      <c r="IVW34" s="228"/>
      <c r="IVX34" s="228"/>
      <c r="IVY34" s="228"/>
      <c r="IVZ34" s="228"/>
      <c r="IWA34" s="228"/>
      <c r="IWB34" s="228"/>
      <c r="IWC34" s="228"/>
      <c r="IWD34" s="228"/>
      <c r="IWE34" s="228"/>
      <c r="IWF34" s="228"/>
      <c r="IWG34" s="228"/>
      <c r="IWH34" s="228"/>
      <c r="IWI34" s="228"/>
      <c r="IWJ34" s="228"/>
      <c r="IWK34" s="228"/>
      <c r="IWL34" s="228"/>
      <c r="IWM34" s="228"/>
      <c r="IWN34" s="228"/>
      <c r="IWO34" s="228"/>
      <c r="IWP34" s="228"/>
      <c r="IWQ34" s="228"/>
      <c r="IWR34" s="228"/>
      <c r="IWS34" s="228"/>
      <c r="IWT34" s="228"/>
      <c r="IWU34" s="228"/>
      <c r="IWV34" s="228"/>
      <c r="IWW34" s="228"/>
      <c r="IWX34" s="228"/>
      <c r="IWY34" s="228"/>
      <c r="IWZ34" s="228"/>
      <c r="IXA34" s="228"/>
      <c r="IXB34" s="228"/>
      <c r="IXC34" s="228"/>
      <c r="IXD34" s="228"/>
      <c r="IXE34" s="228"/>
      <c r="IXF34" s="228"/>
      <c r="IXG34" s="228"/>
      <c r="IXH34" s="228"/>
      <c r="IXI34" s="228"/>
      <c r="IXJ34" s="228"/>
      <c r="IXK34" s="228"/>
      <c r="IXL34" s="228"/>
      <c r="IXM34" s="228"/>
      <c r="IXN34" s="228"/>
      <c r="IXO34" s="228"/>
      <c r="IXP34" s="228"/>
      <c r="IXQ34" s="228"/>
      <c r="IXR34" s="228"/>
      <c r="IXS34" s="228"/>
      <c r="IXT34" s="228"/>
      <c r="IXU34" s="228"/>
      <c r="IXV34" s="228"/>
      <c r="IXW34" s="228"/>
      <c r="IXX34" s="228"/>
      <c r="IXY34" s="228"/>
      <c r="IXZ34" s="228"/>
      <c r="IYA34" s="228"/>
      <c r="IYB34" s="228"/>
      <c r="IYC34" s="228"/>
      <c r="IYD34" s="228"/>
      <c r="IYE34" s="228"/>
      <c r="IYF34" s="228"/>
      <c r="IYG34" s="228"/>
      <c r="IYH34" s="228"/>
      <c r="IYI34" s="228"/>
      <c r="IYJ34" s="228"/>
      <c r="IYK34" s="228"/>
      <c r="IYL34" s="228"/>
      <c r="IYM34" s="228"/>
      <c r="IYN34" s="228"/>
      <c r="IYO34" s="228"/>
      <c r="IYP34" s="228"/>
      <c r="IYQ34" s="228"/>
      <c r="IYR34" s="228"/>
      <c r="IYS34" s="228"/>
      <c r="IYT34" s="228"/>
      <c r="IYU34" s="228"/>
      <c r="IYV34" s="228"/>
      <c r="IYW34" s="228"/>
      <c r="IYX34" s="228"/>
      <c r="IYY34" s="228"/>
      <c r="IYZ34" s="228"/>
      <c r="IZA34" s="228"/>
      <c r="IZB34" s="228"/>
      <c r="IZC34" s="228"/>
      <c r="IZD34" s="228"/>
      <c r="IZE34" s="228"/>
      <c r="IZF34" s="228"/>
      <c r="IZG34" s="228"/>
      <c r="IZH34" s="228"/>
      <c r="IZI34" s="228"/>
      <c r="IZJ34" s="228"/>
      <c r="IZK34" s="228"/>
      <c r="IZL34" s="228"/>
      <c r="IZM34" s="228"/>
      <c r="IZN34" s="228"/>
      <c r="IZO34" s="228"/>
      <c r="IZP34" s="228"/>
      <c r="IZQ34" s="228"/>
      <c r="IZR34" s="228"/>
      <c r="IZS34" s="228"/>
      <c r="IZT34" s="228"/>
      <c r="IZU34" s="228"/>
      <c r="IZV34" s="228"/>
      <c r="IZW34" s="228"/>
      <c r="IZX34" s="228"/>
      <c r="IZY34" s="228"/>
      <c r="IZZ34" s="228"/>
      <c r="JAA34" s="228"/>
      <c r="JAB34" s="228"/>
      <c r="JAC34" s="228"/>
      <c r="JAD34" s="228"/>
      <c r="JAE34" s="228"/>
      <c r="JAF34" s="228"/>
      <c r="JAG34" s="228"/>
      <c r="JAH34" s="228"/>
      <c r="JAI34" s="228"/>
      <c r="JAJ34" s="228"/>
      <c r="JAK34" s="228"/>
      <c r="JAL34" s="228"/>
      <c r="JAM34" s="228"/>
      <c r="JAN34" s="228"/>
      <c r="JAO34" s="228"/>
      <c r="JAP34" s="228"/>
      <c r="JAQ34" s="228"/>
      <c r="JAR34" s="228"/>
      <c r="JAS34" s="228"/>
      <c r="JAT34" s="228"/>
      <c r="JAU34" s="228"/>
      <c r="JAV34" s="228"/>
      <c r="JAW34" s="228"/>
      <c r="JAX34" s="228"/>
      <c r="JAY34" s="228"/>
      <c r="JAZ34" s="228"/>
      <c r="JBA34" s="228"/>
      <c r="JBB34" s="228"/>
      <c r="JBC34" s="228"/>
      <c r="JBD34" s="228"/>
      <c r="JBE34" s="228"/>
      <c r="JBF34" s="228"/>
      <c r="JBG34" s="228"/>
      <c r="JBH34" s="228"/>
      <c r="JBI34" s="228"/>
      <c r="JBJ34" s="228"/>
      <c r="JBK34" s="228"/>
      <c r="JBL34" s="228"/>
      <c r="JBM34" s="228"/>
      <c r="JBN34" s="228"/>
      <c r="JBO34" s="228"/>
      <c r="JBP34" s="228"/>
      <c r="JBQ34" s="228"/>
      <c r="JBR34" s="228"/>
      <c r="JBS34" s="228"/>
      <c r="JBT34" s="228"/>
      <c r="JBU34" s="228"/>
      <c r="JBV34" s="228"/>
      <c r="JBW34" s="228"/>
      <c r="JBX34" s="228"/>
      <c r="JBY34" s="228"/>
      <c r="JBZ34" s="228"/>
      <c r="JCA34" s="228"/>
      <c r="JCB34" s="228"/>
      <c r="JCC34" s="228"/>
      <c r="JCD34" s="228"/>
      <c r="JCE34" s="228"/>
      <c r="JCF34" s="228"/>
      <c r="JCG34" s="228"/>
      <c r="JCH34" s="228"/>
      <c r="JCI34" s="228"/>
      <c r="JCJ34" s="228"/>
      <c r="JCK34" s="228"/>
      <c r="JCL34" s="228"/>
      <c r="JCM34" s="228"/>
      <c r="JCN34" s="228"/>
      <c r="JCO34" s="228"/>
      <c r="JCP34" s="228"/>
      <c r="JCQ34" s="228"/>
      <c r="JCR34" s="228"/>
      <c r="JCS34" s="228"/>
      <c r="JCT34" s="228"/>
      <c r="JCU34" s="228"/>
      <c r="JCV34" s="228"/>
      <c r="JCW34" s="228"/>
      <c r="JCX34" s="228"/>
      <c r="JCY34" s="228"/>
      <c r="JCZ34" s="228"/>
      <c r="JDA34" s="228"/>
      <c r="JDB34" s="228"/>
      <c r="JDC34" s="228"/>
      <c r="JDD34" s="228"/>
      <c r="JDE34" s="228"/>
      <c r="JDF34" s="228"/>
      <c r="JDG34" s="228"/>
      <c r="JDH34" s="228"/>
      <c r="JDI34" s="228"/>
      <c r="JDJ34" s="228"/>
      <c r="JDK34" s="228"/>
      <c r="JDL34" s="228"/>
      <c r="JDM34" s="228"/>
      <c r="JDN34" s="228"/>
      <c r="JDO34" s="228"/>
      <c r="JDP34" s="228"/>
      <c r="JDQ34" s="228"/>
      <c r="JDR34" s="228"/>
      <c r="JDS34" s="228"/>
      <c r="JDT34" s="228"/>
      <c r="JDU34" s="228"/>
      <c r="JDV34" s="228"/>
      <c r="JDW34" s="228"/>
      <c r="JDX34" s="228"/>
      <c r="JDY34" s="228"/>
      <c r="JDZ34" s="228"/>
      <c r="JEA34" s="228"/>
      <c r="JEB34" s="228"/>
      <c r="JEC34" s="228"/>
      <c r="JED34" s="228"/>
      <c r="JEE34" s="228"/>
      <c r="JEF34" s="228"/>
      <c r="JEG34" s="228"/>
      <c r="JEH34" s="228"/>
      <c r="JEI34" s="228"/>
      <c r="JEJ34" s="228"/>
      <c r="JEK34" s="228"/>
      <c r="JEL34" s="228"/>
      <c r="JEM34" s="228"/>
      <c r="JEN34" s="228"/>
      <c r="JEO34" s="228"/>
      <c r="JEP34" s="228"/>
      <c r="JEQ34" s="228"/>
      <c r="JER34" s="228"/>
      <c r="JES34" s="228"/>
      <c r="JET34" s="228"/>
      <c r="JEU34" s="228"/>
      <c r="JEV34" s="228"/>
      <c r="JEW34" s="228"/>
      <c r="JEX34" s="228"/>
      <c r="JEY34" s="228"/>
      <c r="JEZ34" s="228"/>
      <c r="JFA34" s="228"/>
      <c r="JFB34" s="228"/>
      <c r="JFC34" s="228"/>
      <c r="JFD34" s="228"/>
      <c r="JFE34" s="228"/>
      <c r="JFF34" s="228"/>
      <c r="JFG34" s="228"/>
      <c r="JFH34" s="228"/>
      <c r="JFI34" s="228"/>
      <c r="JFJ34" s="228"/>
      <c r="JFK34" s="228"/>
      <c r="JFL34" s="228"/>
      <c r="JFM34" s="228"/>
      <c r="JFN34" s="228"/>
      <c r="JFO34" s="228"/>
      <c r="JFP34" s="228"/>
      <c r="JFQ34" s="228"/>
      <c r="JFR34" s="228"/>
      <c r="JFS34" s="228"/>
      <c r="JFT34" s="228"/>
      <c r="JFU34" s="228"/>
      <c r="JFV34" s="228"/>
      <c r="JFW34" s="228"/>
      <c r="JFX34" s="228"/>
      <c r="JFY34" s="228"/>
      <c r="JFZ34" s="228"/>
      <c r="JGA34" s="228"/>
      <c r="JGB34" s="228"/>
      <c r="JGC34" s="228"/>
      <c r="JGD34" s="228"/>
      <c r="JGE34" s="228"/>
      <c r="JGF34" s="228"/>
      <c r="JGG34" s="228"/>
      <c r="JGH34" s="228"/>
      <c r="JGI34" s="228"/>
      <c r="JGJ34" s="228"/>
      <c r="JGK34" s="228"/>
      <c r="JGL34" s="228"/>
      <c r="JGM34" s="228"/>
      <c r="JGN34" s="228"/>
      <c r="JGO34" s="228"/>
      <c r="JGP34" s="228"/>
      <c r="JGQ34" s="228"/>
      <c r="JGR34" s="228"/>
      <c r="JGS34" s="228"/>
      <c r="JGT34" s="228"/>
      <c r="JGU34" s="228"/>
      <c r="JGV34" s="228"/>
      <c r="JGW34" s="228"/>
      <c r="JGX34" s="228"/>
      <c r="JGY34" s="228"/>
      <c r="JGZ34" s="228"/>
      <c r="JHA34" s="228"/>
      <c r="JHB34" s="228"/>
      <c r="JHC34" s="228"/>
      <c r="JHD34" s="228"/>
      <c r="JHE34" s="228"/>
      <c r="JHF34" s="228"/>
      <c r="JHG34" s="228"/>
      <c r="JHH34" s="228"/>
      <c r="JHI34" s="228"/>
      <c r="JHJ34" s="228"/>
      <c r="JHK34" s="228"/>
      <c r="JHL34" s="228"/>
      <c r="JHM34" s="228"/>
      <c r="JHN34" s="228"/>
      <c r="JHO34" s="228"/>
      <c r="JHP34" s="228"/>
      <c r="JHQ34" s="228"/>
      <c r="JHR34" s="228"/>
      <c r="JHS34" s="228"/>
      <c r="JHT34" s="228"/>
      <c r="JHU34" s="228"/>
      <c r="JHV34" s="228"/>
      <c r="JHW34" s="228"/>
      <c r="JHX34" s="228"/>
      <c r="JHY34" s="228"/>
      <c r="JHZ34" s="228"/>
      <c r="JIA34" s="228"/>
      <c r="JIB34" s="228"/>
      <c r="JIC34" s="228"/>
      <c r="JID34" s="228"/>
      <c r="JIE34" s="228"/>
      <c r="JIF34" s="228"/>
      <c r="JIG34" s="228"/>
      <c r="JIH34" s="228"/>
      <c r="JII34" s="228"/>
      <c r="JIJ34" s="228"/>
      <c r="JIK34" s="228"/>
      <c r="JIL34" s="228"/>
      <c r="JIM34" s="228"/>
      <c r="JIN34" s="228"/>
      <c r="JIO34" s="228"/>
      <c r="JIP34" s="228"/>
      <c r="JIQ34" s="228"/>
      <c r="JIR34" s="228"/>
      <c r="JIS34" s="228"/>
      <c r="JIT34" s="228"/>
      <c r="JIU34" s="228"/>
      <c r="JIV34" s="228"/>
      <c r="JIW34" s="228"/>
      <c r="JIX34" s="228"/>
      <c r="JIY34" s="228"/>
      <c r="JIZ34" s="228"/>
      <c r="JJA34" s="228"/>
      <c r="JJB34" s="228"/>
      <c r="JJC34" s="228"/>
      <c r="JJD34" s="228"/>
      <c r="JJE34" s="228"/>
      <c r="JJF34" s="228"/>
      <c r="JJG34" s="228"/>
      <c r="JJH34" s="228"/>
      <c r="JJI34" s="228"/>
      <c r="JJJ34" s="228"/>
      <c r="JJK34" s="228"/>
      <c r="JJL34" s="228"/>
      <c r="JJM34" s="228"/>
      <c r="JJN34" s="228"/>
      <c r="JJO34" s="228"/>
      <c r="JJP34" s="228"/>
      <c r="JJQ34" s="228"/>
      <c r="JJR34" s="228"/>
      <c r="JJS34" s="228"/>
      <c r="JJT34" s="228"/>
      <c r="JJU34" s="228"/>
      <c r="JJV34" s="228"/>
      <c r="JJW34" s="228"/>
      <c r="JJX34" s="228"/>
      <c r="JJY34" s="228"/>
      <c r="JJZ34" s="228"/>
      <c r="JKA34" s="228"/>
      <c r="JKB34" s="228"/>
      <c r="JKC34" s="228"/>
      <c r="JKD34" s="228"/>
      <c r="JKE34" s="228"/>
      <c r="JKF34" s="228"/>
      <c r="JKG34" s="228"/>
      <c r="JKH34" s="228"/>
      <c r="JKI34" s="228"/>
      <c r="JKJ34" s="228"/>
      <c r="JKK34" s="228"/>
      <c r="JKL34" s="228"/>
      <c r="JKM34" s="228"/>
      <c r="JKN34" s="228"/>
      <c r="JKO34" s="228"/>
      <c r="JKP34" s="228"/>
      <c r="JKQ34" s="228"/>
      <c r="JKR34" s="228"/>
      <c r="JKS34" s="228"/>
      <c r="JKT34" s="228"/>
      <c r="JKU34" s="228"/>
      <c r="JKV34" s="228"/>
      <c r="JKW34" s="228"/>
      <c r="JKX34" s="228"/>
      <c r="JKY34" s="228"/>
      <c r="JKZ34" s="228"/>
      <c r="JLA34" s="228"/>
      <c r="JLB34" s="228"/>
      <c r="JLC34" s="228"/>
      <c r="JLD34" s="228"/>
      <c r="JLE34" s="228"/>
      <c r="JLF34" s="228"/>
      <c r="JLG34" s="228"/>
      <c r="JLH34" s="228"/>
      <c r="JLI34" s="228"/>
      <c r="JLJ34" s="228"/>
      <c r="JLK34" s="228"/>
      <c r="JLL34" s="228"/>
      <c r="JLM34" s="228"/>
      <c r="JLN34" s="228"/>
      <c r="JLO34" s="228"/>
      <c r="JLP34" s="228"/>
      <c r="JLQ34" s="228"/>
      <c r="JLR34" s="228"/>
      <c r="JLS34" s="228"/>
      <c r="JLT34" s="228"/>
      <c r="JLU34" s="228"/>
      <c r="JLV34" s="228"/>
      <c r="JLW34" s="228"/>
      <c r="JLX34" s="228"/>
      <c r="JLY34" s="228"/>
      <c r="JLZ34" s="228"/>
      <c r="JMA34" s="228"/>
      <c r="JMB34" s="228"/>
      <c r="JMC34" s="228"/>
      <c r="JMD34" s="228"/>
      <c r="JME34" s="228"/>
      <c r="JMF34" s="228"/>
      <c r="JMG34" s="228"/>
      <c r="JMH34" s="228"/>
      <c r="JMI34" s="228"/>
      <c r="JMJ34" s="228"/>
      <c r="JMK34" s="228"/>
      <c r="JML34" s="228"/>
      <c r="JMM34" s="228"/>
      <c r="JMN34" s="228"/>
      <c r="JMO34" s="228"/>
      <c r="JMP34" s="228"/>
      <c r="JMQ34" s="228"/>
      <c r="JMR34" s="228"/>
      <c r="JMS34" s="228"/>
      <c r="JMT34" s="228"/>
      <c r="JMU34" s="228"/>
      <c r="JMV34" s="228"/>
      <c r="JMW34" s="228"/>
      <c r="JMX34" s="228"/>
      <c r="JMY34" s="228"/>
      <c r="JMZ34" s="228"/>
      <c r="JNA34" s="228"/>
      <c r="JNB34" s="228"/>
      <c r="JNC34" s="228"/>
      <c r="JND34" s="228"/>
      <c r="JNE34" s="228"/>
      <c r="JNF34" s="228"/>
      <c r="JNG34" s="228"/>
      <c r="JNH34" s="228"/>
      <c r="JNI34" s="228"/>
      <c r="JNJ34" s="228"/>
      <c r="JNK34" s="228"/>
      <c r="JNL34" s="228"/>
      <c r="JNM34" s="228"/>
      <c r="JNN34" s="228"/>
      <c r="JNO34" s="228"/>
      <c r="JNP34" s="228"/>
      <c r="JNQ34" s="228"/>
      <c r="JNR34" s="228"/>
      <c r="JNS34" s="228"/>
      <c r="JNT34" s="228"/>
      <c r="JNU34" s="228"/>
      <c r="JNV34" s="228"/>
      <c r="JNW34" s="228"/>
      <c r="JNX34" s="228"/>
      <c r="JNY34" s="228"/>
      <c r="JNZ34" s="228"/>
      <c r="JOA34" s="228"/>
      <c r="JOB34" s="228"/>
      <c r="JOC34" s="228"/>
      <c r="JOD34" s="228"/>
      <c r="JOE34" s="228"/>
      <c r="JOF34" s="228"/>
      <c r="JOG34" s="228"/>
      <c r="JOH34" s="228"/>
      <c r="JOI34" s="228"/>
      <c r="JOJ34" s="228"/>
      <c r="JOK34" s="228"/>
      <c r="JOL34" s="228"/>
      <c r="JOM34" s="228"/>
      <c r="JON34" s="228"/>
      <c r="JOO34" s="228"/>
      <c r="JOP34" s="228"/>
      <c r="JOQ34" s="228"/>
      <c r="JOR34" s="228"/>
      <c r="JOS34" s="228"/>
      <c r="JOT34" s="228"/>
      <c r="JOU34" s="228"/>
      <c r="JOV34" s="228"/>
      <c r="JOW34" s="228"/>
      <c r="JOX34" s="228"/>
      <c r="JOY34" s="228"/>
      <c r="JOZ34" s="228"/>
      <c r="JPA34" s="228"/>
      <c r="JPB34" s="228"/>
      <c r="JPC34" s="228"/>
      <c r="JPD34" s="228"/>
      <c r="JPE34" s="228"/>
      <c r="JPF34" s="228"/>
      <c r="JPG34" s="228"/>
      <c r="JPH34" s="228"/>
      <c r="JPI34" s="228"/>
      <c r="JPJ34" s="228"/>
      <c r="JPK34" s="228"/>
      <c r="JPL34" s="228"/>
      <c r="JPM34" s="228"/>
      <c r="JPN34" s="228"/>
      <c r="JPO34" s="228"/>
      <c r="JPP34" s="228"/>
      <c r="JPQ34" s="228"/>
      <c r="JPR34" s="228"/>
      <c r="JPS34" s="228"/>
      <c r="JPT34" s="228"/>
      <c r="JPU34" s="228"/>
      <c r="JPV34" s="228"/>
      <c r="JPW34" s="228"/>
      <c r="JPX34" s="228"/>
      <c r="JPY34" s="228"/>
      <c r="JPZ34" s="228"/>
      <c r="JQA34" s="228"/>
      <c r="JQB34" s="228"/>
      <c r="JQC34" s="228"/>
      <c r="JQD34" s="228"/>
      <c r="JQE34" s="228"/>
      <c r="JQF34" s="228"/>
      <c r="JQG34" s="228"/>
      <c r="JQH34" s="228"/>
      <c r="JQI34" s="228"/>
      <c r="JQJ34" s="228"/>
      <c r="JQK34" s="228"/>
      <c r="JQL34" s="228"/>
      <c r="JQM34" s="228"/>
      <c r="JQN34" s="228"/>
      <c r="JQO34" s="228"/>
      <c r="JQP34" s="228"/>
      <c r="JQQ34" s="228"/>
      <c r="JQR34" s="228"/>
      <c r="JQS34" s="228"/>
      <c r="JQT34" s="228"/>
      <c r="JQU34" s="228"/>
      <c r="JQV34" s="228"/>
      <c r="JQW34" s="228"/>
      <c r="JQX34" s="228"/>
      <c r="JQY34" s="228"/>
      <c r="JQZ34" s="228"/>
      <c r="JRA34" s="228"/>
      <c r="JRB34" s="228"/>
      <c r="JRC34" s="228"/>
      <c r="JRD34" s="228"/>
      <c r="JRE34" s="228"/>
      <c r="JRF34" s="228"/>
      <c r="JRG34" s="228"/>
      <c r="JRH34" s="228"/>
      <c r="JRI34" s="228"/>
      <c r="JRJ34" s="228"/>
      <c r="JRK34" s="228"/>
      <c r="JRL34" s="228"/>
      <c r="JRM34" s="228"/>
      <c r="JRN34" s="228"/>
      <c r="JRO34" s="228"/>
      <c r="JRP34" s="228"/>
      <c r="JRQ34" s="228"/>
      <c r="JRR34" s="228"/>
      <c r="JRS34" s="228"/>
      <c r="JRT34" s="228"/>
      <c r="JRU34" s="228"/>
      <c r="JRV34" s="228"/>
      <c r="JRW34" s="228"/>
      <c r="JRX34" s="228"/>
      <c r="JRY34" s="228"/>
      <c r="JRZ34" s="228"/>
      <c r="JSA34" s="228"/>
      <c r="JSB34" s="228"/>
      <c r="JSC34" s="228"/>
      <c r="JSD34" s="228"/>
      <c r="JSE34" s="228"/>
      <c r="JSF34" s="228"/>
      <c r="JSG34" s="228"/>
      <c r="JSH34" s="228"/>
      <c r="JSI34" s="228"/>
      <c r="JSJ34" s="228"/>
      <c r="JSK34" s="228"/>
      <c r="JSL34" s="228"/>
      <c r="JSM34" s="228"/>
      <c r="JSN34" s="228"/>
      <c r="JSO34" s="228"/>
      <c r="JSP34" s="228"/>
      <c r="JSQ34" s="228"/>
      <c r="JSR34" s="228"/>
      <c r="JSS34" s="228"/>
      <c r="JST34" s="228"/>
      <c r="JSU34" s="228"/>
      <c r="JSV34" s="228"/>
      <c r="JSW34" s="228"/>
      <c r="JSX34" s="228"/>
      <c r="JSY34" s="228"/>
      <c r="JSZ34" s="228"/>
      <c r="JTA34" s="228"/>
      <c r="JTB34" s="228"/>
      <c r="JTC34" s="228"/>
      <c r="JTD34" s="228"/>
      <c r="JTE34" s="228"/>
      <c r="JTF34" s="228"/>
      <c r="JTG34" s="228"/>
      <c r="JTH34" s="228"/>
      <c r="JTI34" s="228"/>
      <c r="JTJ34" s="228"/>
      <c r="JTK34" s="228"/>
      <c r="JTL34" s="228"/>
      <c r="JTM34" s="228"/>
      <c r="JTN34" s="228"/>
      <c r="JTO34" s="228"/>
      <c r="JTP34" s="228"/>
      <c r="JTQ34" s="228"/>
      <c r="JTR34" s="228"/>
      <c r="JTS34" s="228"/>
      <c r="JTT34" s="228"/>
      <c r="JTU34" s="228"/>
      <c r="JTV34" s="228"/>
      <c r="JTW34" s="228"/>
      <c r="JTX34" s="228"/>
      <c r="JTY34" s="228"/>
      <c r="JTZ34" s="228"/>
      <c r="JUA34" s="228"/>
      <c r="JUB34" s="228"/>
      <c r="JUC34" s="228"/>
      <c r="JUD34" s="228"/>
      <c r="JUE34" s="228"/>
      <c r="JUF34" s="228"/>
      <c r="JUG34" s="228"/>
      <c r="JUH34" s="228"/>
      <c r="JUI34" s="228"/>
      <c r="JUJ34" s="228"/>
      <c r="JUK34" s="228"/>
      <c r="JUL34" s="228"/>
      <c r="JUM34" s="228"/>
      <c r="JUN34" s="228"/>
      <c r="JUO34" s="228"/>
      <c r="JUP34" s="228"/>
      <c r="JUQ34" s="228"/>
      <c r="JUR34" s="228"/>
      <c r="JUS34" s="228"/>
      <c r="JUT34" s="228"/>
      <c r="JUU34" s="228"/>
      <c r="JUV34" s="228"/>
      <c r="JUW34" s="228"/>
      <c r="JUX34" s="228"/>
      <c r="JUY34" s="228"/>
      <c r="JUZ34" s="228"/>
      <c r="JVA34" s="228"/>
      <c r="JVB34" s="228"/>
      <c r="JVC34" s="228"/>
      <c r="JVD34" s="228"/>
      <c r="JVE34" s="228"/>
      <c r="JVF34" s="228"/>
      <c r="JVG34" s="228"/>
      <c r="JVH34" s="228"/>
      <c r="JVI34" s="228"/>
      <c r="JVJ34" s="228"/>
      <c r="JVK34" s="228"/>
      <c r="JVL34" s="228"/>
      <c r="JVM34" s="228"/>
      <c r="JVN34" s="228"/>
      <c r="JVO34" s="228"/>
      <c r="JVP34" s="228"/>
      <c r="JVQ34" s="228"/>
      <c r="JVR34" s="228"/>
      <c r="JVS34" s="228"/>
      <c r="JVT34" s="228"/>
      <c r="JVU34" s="228"/>
      <c r="JVV34" s="228"/>
      <c r="JVW34" s="228"/>
      <c r="JVX34" s="228"/>
      <c r="JVY34" s="228"/>
      <c r="JVZ34" s="228"/>
      <c r="JWA34" s="228"/>
      <c r="JWB34" s="228"/>
      <c r="JWC34" s="228"/>
      <c r="JWD34" s="228"/>
      <c r="JWE34" s="228"/>
      <c r="JWF34" s="228"/>
      <c r="JWG34" s="228"/>
      <c r="JWH34" s="228"/>
      <c r="JWI34" s="228"/>
      <c r="JWJ34" s="228"/>
      <c r="JWK34" s="228"/>
      <c r="JWL34" s="228"/>
      <c r="JWM34" s="228"/>
      <c r="JWN34" s="228"/>
      <c r="JWO34" s="228"/>
      <c r="JWP34" s="228"/>
      <c r="JWQ34" s="228"/>
      <c r="JWR34" s="228"/>
      <c r="JWS34" s="228"/>
      <c r="JWT34" s="228"/>
      <c r="JWU34" s="228"/>
      <c r="JWV34" s="228"/>
      <c r="JWW34" s="228"/>
      <c r="JWX34" s="228"/>
      <c r="JWY34" s="228"/>
      <c r="JWZ34" s="228"/>
      <c r="JXA34" s="228"/>
      <c r="JXB34" s="228"/>
      <c r="JXC34" s="228"/>
      <c r="JXD34" s="228"/>
      <c r="JXE34" s="228"/>
      <c r="JXF34" s="228"/>
      <c r="JXG34" s="228"/>
      <c r="JXH34" s="228"/>
      <c r="JXI34" s="228"/>
      <c r="JXJ34" s="228"/>
      <c r="JXK34" s="228"/>
      <c r="JXL34" s="228"/>
      <c r="JXM34" s="228"/>
      <c r="JXN34" s="228"/>
      <c r="JXO34" s="228"/>
      <c r="JXP34" s="228"/>
      <c r="JXQ34" s="228"/>
      <c r="JXR34" s="228"/>
      <c r="JXS34" s="228"/>
      <c r="JXT34" s="228"/>
      <c r="JXU34" s="228"/>
      <c r="JXV34" s="228"/>
      <c r="JXW34" s="228"/>
      <c r="JXX34" s="228"/>
      <c r="JXY34" s="228"/>
      <c r="JXZ34" s="228"/>
      <c r="JYA34" s="228"/>
      <c r="JYB34" s="228"/>
      <c r="JYC34" s="228"/>
      <c r="JYD34" s="228"/>
      <c r="JYE34" s="228"/>
      <c r="JYF34" s="228"/>
      <c r="JYG34" s="228"/>
      <c r="JYH34" s="228"/>
      <c r="JYI34" s="228"/>
      <c r="JYJ34" s="228"/>
      <c r="JYK34" s="228"/>
      <c r="JYL34" s="228"/>
      <c r="JYM34" s="228"/>
      <c r="JYN34" s="228"/>
      <c r="JYO34" s="228"/>
      <c r="JYP34" s="228"/>
      <c r="JYQ34" s="228"/>
      <c r="JYR34" s="228"/>
      <c r="JYS34" s="228"/>
      <c r="JYT34" s="228"/>
      <c r="JYU34" s="228"/>
      <c r="JYV34" s="228"/>
      <c r="JYW34" s="228"/>
      <c r="JYX34" s="228"/>
      <c r="JYY34" s="228"/>
      <c r="JYZ34" s="228"/>
      <c r="JZA34" s="228"/>
      <c r="JZB34" s="228"/>
      <c r="JZC34" s="228"/>
      <c r="JZD34" s="228"/>
      <c r="JZE34" s="228"/>
      <c r="JZF34" s="228"/>
      <c r="JZG34" s="228"/>
      <c r="JZH34" s="228"/>
      <c r="JZI34" s="228"/>
      <c r="JZJ34" s="228"/>
      <c r="JZK34" s="228"/>
      <c r="JZL34" s="228"/>
      <c r="JZM34" s="228"/>
      <c r="JZN34" s="228"/>
      <c r="JZO34" s="228"/>
      <c r="JZP34" s="228"/>
      <c r="JZQ34" s="228"/>
      <c r="JZR34" s="228"/>
      <c r="JZS34" s="228"/>
      <c r="JZT34" s="228"/>
      <c r="JZU34" s="228"/>
      <c r="JZV34" s="228"/>
      <c r="JZW34" s="228"/>
      <c r="JZX34" s="228"/>
      <c r="JZY34" s="228"/>
      <c r="JZZ34" s="228"/>
      <c r="KAA34" s="228"/>
      <c r="KAB34" s="228"/>
      <c r="KAC34" s="228"/>
      <c r="KAD34" s="228"/>
      <c r="KAE34" s="228"/>
      <c r="KAF34" s="228"/>
      <c r="KAG34" s="228"/>
      <c r="KAH34" s="228"/>
      <c r="KAI34" s="228"/>
      <c r="KAJ34" s="228"/>
      <c r="KAK34" s="228"/>
      <c r="KAL34" s="228"/>
      <c r="KAM34" s="228"/>
      <c r="KAN34" s="228"/>
      <c r="KAO34" s="228"/>
      <c r="KAP34" s="228"/>
      <c r="KAQ34" s="228"/>
      <c r="KAR34" s="228"/>
      <c r="KAS34" s="228"/>
      <c r="KAT34" s="228"/>
      <c r="KAU34" s="228"/>
      <c r="KAV34" s="228"/>
      <c r="KAW34" s="228"/>
      <c r="KAX34" s="228"/>
      <c r="KAY34" s="228"/>
      <c r="KAZ34" s="228"/>
      <c r="KBA34" s="228"/>
      <c r="KBB34" s="228"/>
      <c r="KBC34" s="228"/>
      <c r="KBD34" s="228"/>
      <c r="KBE34" s="228"/>
      <c r="KBF34" s="228"/>
      <c r="KBG34" s="228"/>
      <c r="KBH34" s="228"/>
      <c r="KBI34" s="228"/>
      <c r="KBJ34" s="228"/>
      <c r="KBK34" s="228"/>
      <c r="KBL34" s="228"/>
      <c r="KBM34" s="228"/>
      <c r="KBN34" s="228"/>
      <c r="KBO34" s="228"/>
      <c r="KBP34" s="228"/>
      <c r="KBQ34" s="228"/>
      <c r="KBR34" s="228"/>
      <c r="KBS34" s="228"/>
      <c r="KBT34" s="228"/>
      <c r="KBU34" s="228"/>
      <c r="KBV34" s="228"/>
      <c r="KBW34" s="228"/>
      <c r="KBX34" s="228"/>
      <c r="KBY34" s="228"/>
      <c r="KBZ34" s="228"/>
      <c r="KCA34" s="228"/>
      <c r="KCB34" s="228"/>
      <c r="KCC34" s="228"/>
      <c r="KCD34" s="228"/>
      <c r="KCE34" s="228"/>
      <c r="KCF34" s="228"/>
      <c r="KCG34" s="228"/>
      <c r="KCH34" s="228"/>
      <c r="KCI34" s="228"/>
      <c r="KCJ34" s="228"/>
      <c r="KCK34" s="228"/>
      <c r="KCL34" s="228"/>
      <c r="KCM34" s="228"/>
      <c r="KCN34" s="228"/>
      <c r="KCO34" s="228"/>
      <c r="KCP34" s="228"/>
      <c r="KCQ34" s="228"/>
      <c r="KCR34" s="228"/>
      <c r="KCS34" s="228"/>
      <c r="KCT34" s="228"/>
      <c r="KCU34" s="228"/>
      <c r="KCV34" s="228"/>
      <c r="KCW34" s="228"/>
      <c r="KCX34" s="228"/>
      <c r="KCY34" s="228"/>
      <c r="KCZ34" s="228"/>
      <c r="KDA34" s="228"/>
      <c r="KDB34" s="228"/>
      <c r="KDC34" s="228"/>
      <c r="KDD34" s="228"/>
      <c r="KDE34" s="228"/>
      <c r="KDF34" s="228"/>
      <c r="KDG34" s="228"/>
      <c r="KDH34" s="228"/>
      <c r="KDI34" s="228"/>
      <c r="KDJ34" s="228"/>
      <c r="KDK34" s="228"/>
      <c r="KDL34" s="228"/>
      <c r="KDM34" s="228"/>
      <c r="KDN34" s="228"/>
      <c r="KDO34" s="228"/>
      <c r="KDP34" s="228"/>
      <c r="KDQ34" s="228"/>
      <c r="KDR34" s="228"/>
      <c r="KDS34" s="228"/>
      <c r="KDT34" s="228"/>
      <c r="KDU34" s="228"/>
      <c r="KDV34" s="228"/>
      <c r="KDW34" s="228"/>
      <c r="KDX34" s="228"/>
      <c r="KDY34" s="228"/>
      <c r="KDZ34" s="228"/>
      <c r="KEA34" s="228"/>
      <c r="KEB34" s="228"/>
      <c r="KEC34" s="228"/>
      <c r="KED34" s="228"/>
      <c r="KEE34" s="228"/>
      <c r="KEF34" s="228"/>
      <c r="KEG34" s="228"/>
      <c r="KEH34" s="228"/>
      <c r="KEI34" s="228"/>
      <c r="KEJ34" s="228"/>
      <c r="KEK34" s="228"/>
      <c r="KEL34" s="228"/>
      <c r="KEM34" s="228"/>
      <c r="KEN34" s="228"/>
      <c r="KEO34" s="228"/>
      <c r="KEP34" s="228"/>
      <c r="KEQ34" s="228"/>
      <c r="KER34" s="228"/>
      <c r="KES34" s="228"/>
      <c r="KET34" s="228"/>
      <c r="KEU34" s="228"/>
      <c r="KEV34" s="228"/>
      <c r="KEW34" s="228"/>
      <c r="KEX34" s="228"/>
      <c r="KEY34" s="228"/>
      <c r="KEZ34" s="228"/>
      <c r="KFA34" s="228"/>
      <c r="KFB34" s="228"/>
      <c r="KFC34" s="228"/>
      <c r="KFD34" s="228"/>
      <c r="KFE34" s="228"/>
      <c r="KFF34" s="228"/>
      <c r="KFG34" s="228"/>
      <c r="KFH34" s="228"/>
      <c r="KFI34" s="228"/>
      <c r="KFJ34" s="228"/>
      <c r="KFK34" s="228"/>
      <c r="KFL34" s="228"/>
      <c r="KFM34" s="228"/>
      <c r="KFN34" s="228"/>
      <c r="KFO34" s="228"/>
      <c r="KFP34" s="228"/>
      <c r="KFQ34" s="228"/>
      <c r="KFR34" s="228"/>
      <c r="KFS34" s="228"/>
      <c r="KFT34" s="228"/>
      <c r="KFU34" s="228"/>
      <c r="KFV34" s="228"/>
      <c r="KFW34" s="228"/>
      <c r="KFX34" s="228"/>
      <c r="KFY34" s="228"/>
      <c r="KFZ34" s="228"/>
      <c r="KGA34" s="228"/>
      <c r="KGB34" s="228"/>
      <c r="KGC34" s="228"/>
      <c r="KGD34" s="228"/>
      <c r="KGE34" s="228"/>
      <c r="KGF34" s="228"/>
      <c r="KGG34" s="228"/>
      <c r="KGH34" s="228"/>
      <c r="KGI34" s="228"/>
      <c r="KGJ34" s="228"/>
      <c r="KGK34" s="228"/>
      <c r="KGL34" s="228"/>
      <c r="KGM34" s="228"/>
      <c r="KGN34" s="228"/>
      <c r="KGO34" s="228"/>
      <c r="KGP34" s="228"/>
      <c r="KGQ34" s="228"/>
      <c r="KGR34" s="228"/>
      <c r="KGS34" s="228"/>
      <c r="KGT34" s="228"/>
      <c r="KGU34" s="228"/>
      <c r="KGV34" s="228"/>
      <c r="KGW34" s="228"/>
      <c r="KGX34" s="228"/>
      <c r="KGY34" s="228"/>
      <c r="KGZ34" s="228"/>
      <c r="KHA34" s="228"/>
      <c r="KHB34" s="228"/>
      <c r="KHC34" s="228"/>
      <c r="KHD34" s="228"/>
      <c r="KHE34" s="228"/>
      <c r="KHF34" s="228"/>
      <c r="KHG34" s="228"/>
      <c r="KHH34" s="228"/>
      <c r="KHI34" s="228"/>
      <c r="KHJ34" s="228"/>
      <c r="KHK34" s="228"/>
      <c r="KHL34" s="228"/>
      <c r="KHM34" s="228"/>
      <c r="KHN34" s="228"/>
      <c r="KHO34" s="228"/>
      <c r="KHP34" s="228"/>
      <c r="KHQ34" s="228"/>
      <c r="KHR34" s="228"/>
      <c r="KHS34" s="228"/>
      <c r="KHT34" s="228"/>
      <c r="KHU34" s="228"/>
      <c r="KHV34" s="228"/>
      <c r="KHW34" s="228"/>
      <c r="KHX34" s="228"/>
      <c r="KHY34" s="228"/>
      <c r="KHZ34" s="228"/>
      <c r="KIA34" s="228"/>
      <c r="KIB34" s="228"/>
      <c r="KIC34" s="228"/>
      <c r="KID34" s="228"/>
      <c r="KIE34" s="228"/>
      <c r="KIF34" s="228"/>
      <c r="KIG34" s="228"/>
      <c r="KIH34" s="228"/>
      <c r="KII34" s="228"/>
      <c r="KIJ34" s="228"/>
      <c r="KIK34" s="228"/>
      <c r="KIL34" s="228"/>
      <c r="KIM34" s="228"/>
      <c r="KIN34" s="228"/>
      <c r="KIO34" s="228"/>
      <c r="KIP34" s="228"/>
      <c r="KIQ34" s="228"/>
      <c r="KIR34" s="228"/>
      <c r="KIS34" s="228"/>
      <c r="KIT34" s="228"/>
      <c r="KIU34" s="228"/>
      <c r="KIV34" s="228"/>
      <c r="KIW34" s="228"/>
      <c r="KIX34" s="228"/>
      <c r="KIY34" s="228"/>
      <c r="KIZ34" s="228"/>
      <c r="KJA34" s="228"/>
      <c r="KJB34" s="228"/>
      <c r="KJC34" s="228"/>
      <c r="KJD34" s="228"/>
      <c r="KJE34" s="228"/>
      <c r="KJF34" s="228"/>
      <c r="KJG34" s="228"/>
      <c r="KJH34" s="228"/>
      <c r="KJI34" s="228"/>
      <c r="KJJ34" s="228"/>
      <c r="KJK34" s="228"/>
      <c r="KJL34" s="228"/>
      <c r="KJM34" s="228"/>
      <c r="KJN34" s="228"/>
      <c r="KJO34" s="228"/>
      <c r="KJP34" s="228"/>
      <c r="KJQ34" s="228"/>
      <c r="KJR34" s="228"/>
      <c r="KJS34" s="228"/>
      <c r="KJT34" s="228"/>
      <c r="KJU34" s="228"/>
      <c r="KJV34" s="228"/>
      <c r="KJW34" s="228"/>
      <c r="KJX34" s="228"/>
      <c r="KJY34" s="228"/>
      <c r="KJZ34" s="228"/>
      <c r="KKA34" s="228"/>
      <c r="KKB34" s="228"/>
      <c r="KKC34" s="228"/>
      <c r="KKD34" s="228"/>
      <c r="KKE34" s="228"/>
      <c r="KKF34" s="228"/>
      <c r="KKG34" s="228"/>
      <c r="KKH34" s="228"/>
      <c r="KKI34" s="228"/>
      <c r="KKJ34" s="228"/>
      <c r="KKK34" s="228"/>
      <c r="KKL34" s="228"/>
      <c r="KKM34" s="228"/>
      <c r="KKN34" s="228"/>
      <c r="KKO34" s="228"/>
      <c r="KKP34" s="228"/>
      <c r="KKQ34" s="228"/>
      <c r="KKR34" s="228"/>
      <c r="KKS34" s="228"/>
      <c r="KKT34" s="228"/>
      <c r="KKU34" s="228"/>
      <c r="KKV34" s="228"/>
      <c r="KKW34" s="228"/>
      <c r="KKX34" s="228"/>
      <c r="KKY34" s="228"/>
      <c r="KKZ34" s="228"/>
      <c r="KLA34" s="228"/>
      <c r="KLB34" s="228"/>
      <c r="KLC34" s="228"/>
      <c r="KLD34" s="228"/>
      <c r="KLE34" s="228"/>
      <c r="KLF34" s="228"/>
      <c r="KLG34" s="228"/>
      <c r="KLH34" s="228"/>
      <c r="KLI34" s="228"/>
      <c r="KLJ34" s="228"/>
      <c r="KLK34" s="228"/>
      <c r="KLL34" s="228"/>
      <c r="KLM34" s="228"/>
      <c r="KLN34" s="228"/>
      <c r="KLO34" s="228"/>
      <c r="KLP34" s="228"/>
      <c r="KLQ34" s="228"/>
      <c r="KLR34" s="228"/>
      <c r="KLS34" s="228"/>
      <c r="KLT34" s="228"/>
      <c r="KLU34" s="228"/>
      <c r="KLV34" s="228"/>
      <c r="KLW34" s="228"/>
      <c r="KLX34" s="228"/>
      <c r="KLY34" s="228"/>
      <c r="KLZ34" s="228"/>
      <c r="KMA34" s="228"/>
      <c r="KMB34" s="228"/>
      <c r="KMC34" s="228"/>
      <c r="KMD34" s="228"/>
      <c r="KME34" s="228"/>
      <c r="KMF34" s="228"/>
      <c r="KMG34" s="228"/>
      <c r="KMH34" s="228"/>
      <c r="KMI34" s="228"/>
      <c r="KMJ34" s="228"/>
      <c r="KMK34" s="228"/>
      <c r="KML34" s="228"/>
      <c r="KMM34" s="228"/>
      <c r="KMN34" s="228"/>
      <c r="KMO34" s="228"/>
      <c r="KMP34" s="228"/>
      <c r="KMQ34" s="228"/>
      <c r="KMR34" s="228"/>
      <c r="KMS34" s="228"/>
      <c r="KMT34" s="228"/>
      <c r="KMU34" s="228"/>
      <c r="KMV34" s="228"/>
      <c r="KMW34" s="228"/>
      <c r="KMX34" s="228"/>
      <c r="KMY34" s="228"/>
      <c r="KMZ34" s="228"/>
      <c r="KNA34" s="228"/>
      <c r="KNB34" s="228"/>
      <c r="KNC34" s="228"/>
      <c r="KND34" s="228"/>
      <c r="KNE34" s="228"/>
      <c r="KNF34" s="228"/>
      <c r="KNG34" s="228"/>
      <c r="KNH34" s="228"/>
      <c r="KNI34" s="228"/>
      <c r="KNJ34" s="228"/>
      <c r="KNK34" s="228"/>
      <c r="KNL34" s="228"/>
      <c r="KNM34" s="228"/>
      <c r="KNN34" s="228"/>
      <c r="KNO34" s="228"/>
      <c r="KNP34" s="228"/>
      <c r="KNQ34" s="228"/>
      <c r="KNR34" s="228"/>
      <c r="KNS34" s="228"/>
      <c r="KNT34" s="228"/>
      <c r="KNU34" s="228"/>
      <c r="KNV34" s="228"/>
      <c r="KNW34" s="228"/>
      <c r="KNX34" s="228"/>
      <c r="KNY34" s="228"/>
      <c r="KNZ34" s="228"/>
      <c r="KOA34" s="228"/>
      <c r="KOB34" s="228"/>
      <c r="KOC34" s="228"/>
      <c r="KOD34" s="228"/>
      <c r="KOE34" s="228"/>
      <c r="KOF34" s="228"/>
      <c r="KOG34" s="228"/>
      <c r="KOH34" s="228"/>
      <c r="KOI34" s="228"/>
      <c r="KOJ34" s="228"/>
      <c r="KOK34" s="228"/>
      <c r="KOL34" s="228"/>
      <c r="KOM34" s="228"/>
      <c r="KON34" s="228"/>
      <c r="KOO34" s="228"/>
      <c r="KOP34" s="228"/>
      <c r="KOQ34" s="228"/>
      <c r="KOR34" s="228"/>
      <c r="KOS34" s="228"/>
      <c r="KOT34" s="228"/>
      <c r="KOU34" s="228"/>
      <c r="KOV34" s="228"/>
      <c r="KOW34" s="228"/>
      <c r="KOX34" s="228"/>
      <c r="KOY34" s="228"/>
      <c r="KOZ34" s="228"/>
      <c r="KPA34" s="228"/>
      <c r="KPB34" s="228"/>
      <c r="KPC34" s="228"/>
      <c r="KPD34" s="228"/>
      <c r="KPE34" s="228"/>
      <c r="KPF34" s="228"/>
      <c r="KPG34" s="228"/>
      <c r="KPH34" s="228"/>
      <c r="KPI34" s="228"/>
      <c r="KPJ34" s="228"/>
      <c r="KPK34" s="228"/>
      <c r="KPL34" s="228"/>
      <c r="KPM34" s="228"/>
      <c r="KPN34" s="228"/>
      <c r="KPO34" s="228"/>
      <c r="KPP34" s="228"/>
      <c r="KPQ34" s="228"/>
      <c r="KPR34" s="228"/>
      <c r="KPS34" s="228"/>
      <c r="KPT34" s="228"/>
      <c r="KPU34" s="228"/>
      <c r="KPV34" s="228"/>
      <c r="KPW34" s="228"/>
      <c r="KPX34" s="228"/>
      <c r="KPY34" s="228"/>
      <c r="KPZ34" s="228"/>
      <c r="KQA34" s="228"/>
      <c r="KQB34" s="228"/>
      <c r="KQC34" s="228"/>
      <c r="KQD34" s="228"/>
      <c r="KQE34" s="228"/>
      <c r="KQF34" s="228"/>
      <c r="KQG34" s="228"/>
      <c r="KQH34" s="228"/>
      <c r="KQI34" s="228"/>
      <c r="KQJ34" s="228"/>
      <c r="KQK34" s="228"/>
      <c r="KQL34" s="228"/>
      <c r="KQM34" s="228"/>
      <c r="KQN34" s="228"/>
      <c r="KQO34" s="228"/>
      <c r="KQP34" s="228"/>
      <c r="KQQ34" s="228"/>
      <c r="KQR34" s="228"/>
      <c r="KQS34" s="228"/>
      <c r="KQT34" s="228"/>
      <c r="KQU34" s="228"/>
      <c r="KQV34" s="228"/>
      <c r="KQW34" s="228"/>
      <c r="KQX34" s="228"/>
      <c r="KQY34" s="228"/>
      <c r="KQZ34" s="228"/>
      <c r="KRA34" s="228"/>
      <c r="KRB34" s="228"/>
      <c r="KRC34" s="228"/>
      <c r="KRD34" s="228"/>
      <c r="KRE34" s="228"/>
      <c r="KRF34" s="228"/>
      <c r="KRG34" s="228"/>
      <c r="KRH34" s="228"/>
      <c r="KRI34" s="228"/>
      <c r="KRJ34" s="228"/>
      <c r="KRK34" s="228"/>
      <c r="KRL34" s="228"/>
      <c r="KRM34" s="228"/>
      <c r="KRN34" s="228"/>
      <c r="KRO34" s="228"/>
      <c r="KRP34" s="228"/>
      <c r="KRQ34" s="228"/>
      <c r="KRR34" s="228"/>
      <c r="KRS34" s="228"/>
      <c r="KRT34" s="228"/>
      <c r="KRU34" s="228"/>
      <c r="KRV34" s="228"/>
      <c r="KRW34" s="228"/>
      <c r="KRX34" s="228"/>
      <c r="KRY34" s="228"/>
      <c r="KRZ34" s="228"/>
      <c r="KSA34" s="228"/>
      <c r="KSB34" s="228"/>
      <c r="KSC34" s="228"/>
      <c r="KSD34" s="228"/>
      <c r="KSE34" s="228"/>
      <c r="KSF34" s="228"/>
      <c r="KSG34" s="228"/>
      <c r="KSH34" s="228"/>
      <c r="KSI34" s="228"/>
      <c r="KSJ34" s="228"/>
      <c r="KSK34" s="228"/>
      <c r="KSL34" s="228"/>
      <c r="KSM34" s="228"/>
      <c r="KSN34" s="228"/>
      <c r="KSO34" s="228"/>
      <c r="KSP34" s="228"/>
      <c r="KSQ34" s="228"/>
      <c r="KSR34" s="228"/>
      <c r="KSS34" s="228"/>
      <c r="KST34" s="228"/>
      <c r="KSU34" s="228"/>
      <c r="KSV34" s="228"/>
      <c r="KSW34" s="228"/>
      <c r="KSX34" s="228"/>
      <c r="KSY34" s="228"/>
      <c r="KSZ34" s="228"/>
      <c r="KTA34" s="228"/>
      <c r="KTB34" s="228"/>
      <c r="KTC34" s="228"/>
      <c r="KTD34" s="228"/>
      <c r="KTE34" s="228"/>
      <c r="KTF34" s="228"/>
      <c r="KTG34" s="228"/>
      <c r="KTH34" s="228"/>
      <c r="KTI34" s="228"/>
      <c r="KTJ34" s="228"/>
      <c r="KTK34" s="228"/>
      <c r="KTL34" s="228"/>
      <c r="KTM34" s="228"/>
      <c r="KTN34" s="228"/>
      <c r="KTO34" s="228"/>
      <c r="KTP34" s="228"/>
      <c r="KTQ34" s="228"/>
      <c r="KTR34" s="228"/>
      <c r="KTS34" s="228"/>
      <c r="KTT34" s="228"/>
      <c r="KTU34" s="228"/>
      <c r="KTV34" s="228"/>
      <c r="KTW34" s="228"/>
      <c r="KTX34" s="228"/>
      <c r="KTY34" s="228"/>
      <c r="KTZ34" s="228"/>
      <c r="KUA34" s="228"/>
      <c r="KUB34" s="228"/>
      <c r="KUC34" s="228"/>
      <c r="KUD34" s="228"/>
      <c r="KUE34" s="228"/>
      <c r="KUF34" s="228"/>
      <c r="KUG34" s="228"/>
      <c r="KUH34" s="228"/>
      <c r="KUI34" s="228"/>
      <c r="KUJ34" s="228"/>
      <c r="KUK34" s="228"/>
      <c r="KUL34" s="228"/>
      <c r="KUM34" s="228"/>
      <c r="KUN34" s="228"/>
      <c r="KUO34" s="228"/>
      <c r="KUP34" s="228"/>
      <c r="KUQ34" s="228"/>
      <c r="KUR34" s="228"/>
      <c r="KUS34" s="228"/>
      <c r="KUT34" s="228"/>
      <c r="KUU34" s="228"/>
      <c r="KUV34" s="228"/>
      <c r="KUW34" s="228"/>
      <c r="KUX34" s="228"/>
      <c r="KUY34" s="228"/>
      <c r="KUZ34" s="228"/>
      <c r="KVA34" s="228"/>
      <c r="KVB34" s="228"/>
      <c r="KVC34" s="228"/>
      <c r="KVD34" s="228"/>
      <c r="KVE34" s="228"/>
      <c r="KVF34" s="228"/>
      <c r="KVG34" s="228"/>
      <c r="KVH34" s="228"/>
      <c r="KVI34" s="228"/>
      <c r="KVJ34" s="228"/>
      <c r="KVK34" s="228"/>
      <c r="KVL34" s="228"/>
      <c r="KVM34" s="228"/>
      <c r="KVN34" s="228"/>
      <c r="KVO34" s="228"/>
      <c r="KVP34" s="228"/>
      <c r="KVQ34" s="228"/>
      <c r="KVR34" s="228"/>
      <c r="KVS34" s="228"/>
      <c r="KVT34" s="228"/>
      <c r="KVU34" s="228"/>
      <c r="KVV34" s="228"/>
      <c r="KVW34" s="228"/>
      <c r="KVX34" s="228"/>
      <c r="KVY34" s="228"/>
      <c r="KVZ34" s="228"/>
      <c r="KWA34" s="228"/>
      <c r="KWB34" s="228"/>
      <c r="KWC34" s="228"/>
      <c r="KWD34" s="228"/>
      <c r="KWE34" s="228"/>
      <c r="KWF34" s="228"/>
      <c r="KWG34" s="228"/>
      <c r="KWH34" s="228"/>
      <c r="KWI34" s="228"/>
      <c r="KWJ34" s="228"/>
      <c r="KWK34" s="228"/>
      <c r="KWL34" s="228"/>
      <c r="KWM34" s="228"/>
      <c r="KWN34" s="228"/>
      <c r="KWO34" s="228"/>
      <c r="KWP34" s="228"/>
      <c r="KWQ34" s="228"/>
      <c r="KWR34" s="228"/>
      <c r="KWS34" s="228"/>
      <c r="KWT34" s="228"/>
      <c r="KWU34" s="228"/>
      <c r="KWV34" s="228"/>
      <c r="KWW34" s="228"/>
      <c r="KWX34" s="228"/>
      <c r="KWY34" s="228"/>
      <c r="KWZ34" s="228"/>
      <c r="KXA34" s="228"/>
      <c r="KXB34" s="228"/>
      <c r="KXC34" s="228"/>
      <c r="KXD34" s="228"/>
      <c r="KXE34" s="228"/>
      <c r="KXF34" s="228"/>
      <c r="KXG34" s="228"/>
      <c r="KXH34" s="228"/>
      <c r="KXI34" s="228"/>
      <c r="KXJ34" s="228"/>
      <c r="KXK34" s="228"/>
      <c r="KXL34" s="228"/>
      <c r="KXM34" s="228"/>
      <c r="KXN34" s="228"/>
      <c r="KXO34" s="228"/>
      <c r="KXP34" s="228"/>
      <c r="KXQ34" s="228"/>
      <c r="KXR34" s="228"/>
      <c r="KXS34" s="228"/>
      <c r="KXT34" s="228"/>
      <c r="KXU34" s="228"/>
      <c r="KXV34" s="228"/>
      <c r="KXW34" s="228"/>
      <c r="KXX34" s="228"/>
      <c r="KXY34" s="228"/>
      <c r="KXZ34" s="228"/>
      <c r="KYA34" s="228"/>
      <c r="KYB34" s="228"/>
      <c r="KYC34" s="228"/>
      <c r="KYD34" s="228"/>
      <c r="KYE34" s="228"/>
      <c r="KYF34" s="228"/>
      <c r="KYG34" s="228"/>
      <c r="KYH34" s="228"/>
      <c r="KYI34" s="228"/>
      <c r="KYJ34" s="228"/>
      <c r="KYK34" s="228"/>
      <c r="KYL34" s="228"/>
      <c r="KYM34" s="228"/>
      <c r="KYN34" s="228"/>
      <c r="KYO34" s="228"/>
      <c r="KYP34" s="228"/>
      <c r="KYQ34" s="228"/>
      <c r="KYR34" s="228"/>
      <c r="KYS34" s="228"/>
      <c r="KYT34" s="228"/>
      <c r="KYU34" s="228"/>
      <c r="KYV34" s="228"/>
      <c r="KYW34" s="228"/>
      <c r="KYX34" s="228"/>
      <c r="KYY34" s="228"/>
      <c r="KYZ34" s="228"/>
      <c r="KZA34" s="228"/>
      <c r="KZB34" s="228"/>
      <c r="KZC34" s="228"/>
      <c r="KZD34" s="228"/>
      <c r="KZE34" s="228"/>
      <c r="KZF34" s="228"/>
      <c r="KZG34" s="228"/>
      <c r="KZH34" s="228"/>
      <c r="KZI34" s="228"/>
      <c r="KZJ34" s="228"/>
      <c r="KZK34" s="228"/>
      <c r="KZL34" s="228"/>
      <c r="KZM34" s="228"/>
      <c r="KZN34" s="228"/>
      <c r="KZO34" s="228"/>
      <c r="KZP34" s="228"/>
      <c r="KZQ34" s="228"/>
      <c r="KZR34" s="228"/>
      <c r="KZS34" s="228"/>
      <c r="KZT34" s="228"/>
      <c r="KZU34" s="228"/>
      <c r="KZV34" s="228"/>
      <c r="KZW34" s="228"/>
      <c r="KZX34" s="228"/>
      <c r="KZY34" s="228"/>
      <c r="KZZ34" s="228"/>
      <c r="LAA34" s="228"/>
      <c r="LAB34" s="228"/>
      <c r="LAC34" s="228"/>
      <c r="LAD34" s="228"/>
      <c r="LAE34" s="228"/>
      <c r="LAF34" s="228"/>
      <c r="LAG34" s="228"/>
      <c r="LAH34" s="228"/>
      <c r="LAI34" s="228"/>
      <c r="LAJ34" s="228"/>
      <c r="LAK34" s="228"/>
      <c r="LAL34" s="228"/>
      <c r="LAM34" s="228"/>
      <c r="LAN34" s="228"/>
      <c r="LAO34" s="228"/>
      <c r="LAP34" s="228"/>
      <c r="LAQ34" s="228"/>
      <c r="LAR34" s="228"/>
      <c r="LAS34" s="228"/>
      <c r="LAT34" s="228"/>
      <c r="LAU34" s="228"/>
      <c r="LAV34" s="228"/>
      <c r="LAW34" s="228"/>
      <c r="LAX34" s="228"/>
      <c r="LAY34" s="228"/>
      <c r="LAZ34" s="228"/>
      <c r="LBA34" s="228"/>
      <c r="LBB34" s="228"/>
      <c r="LBC34" s="228"/>
      <c r="LBD34" s="228"/>
      <c r="LBE34" s="228"/>
      <c r="LBF34" s="228"/>
      <c r="LBG34" s="228"/>
      <c r="LBH34" s="228"/>
      <c r="LBI34" s="228"/>
      <c r="LBJ34" s="228"/>
      <c r="LBK34" s="228"/>
      <c r="LBL34" s="228"/>
      <c r="LBM34" s="228"/>
      <c r="LBN34" s="228"/>
      <c r="LBO34" s="228"/>
      <c r="LBP34" s="228"/>
      <c r="LBQ34" s="228"/>
      <c r="LBR34" s="228"/>
      <c r="LBS34" s="228"/>
      <c r="LBT34" s="228"/>
      <c r="LBU34" s="228"/>
      <c r="LBV34" s="228"/>
      <c r="LBW34" s="228"/>
      <c r="LBX34" s="228"/>
      <c r="LBY34" s="228"/>
      <c r="LBZ34" s="228"/>
      <c r="LCA34" s="228"/>
      <c r="LCB34" s="228"/>
      <c r="LCC34" s="228"/>
      <c r="LCD34" s="228"/>
      <c r="LCE34" s="228"/>
      <c r="LCF34" s="228"/>
      <c r="LCG34" s="228"/>
      <c r="LCH34" s="228"/>
      <c r="LCI34" s="228"/>
      <c r="LCJ34" s="228"/>
      <c r="LCK34" s="228"/>
      <c r="LCL34" s="228"/>
      <c r="LCM34" s="228"/>
      <c r="LCN34" s="228"/>
      <c r="LCO34" s="228"/>
      <c r="LCP34" s="228"/>
      <c r="LCQ34" s="228"/>
      <c r="LCR34" s="228"/>
      <c r="LCS34" s="228"/>
      <c r="LCT34" s="228"/>
      <c r="LCU34" s="228"/>
      <c r="LCV34" s="228"/>
      <c r="LCW34" s="228"/>
      <c r="LCX34" s="228"/>
      <c r="LCY34" s="228"/>
      <c r="LCZ34" s="228"/>
      <c r="LDA34" s="228"/>
      <c r="LDB34" s="228"/>
      <c r="LDC34" s="228"/>
      <c r="LDD34" s="228"/>
      <c r="LDE34" s="228"/>
      <c r="LDF34" s="228"/>
      <c r="LDG34" s="228"/>
      <c r="LDH34" s="228"/>
      <c r="LDI34" s="228"/>
      <c r="LDJ34" s="228"/>
      <c r="LDK34" s="228"/>
      <c r="LDL34" s="228"/>
      <c r="LDM34" s="228"/>
      <c r="LDN34" s="228"/>
      <c r="LDO34" s="228"/>
      <c r="LDP34" s="228"/>
      <c r="LDQ34" s="228"/>
      <c r="LDR34" s="228"/>
      <c r="LDS34" s="228"/>
      <c r="LDT34" s="228"/>
      <c r="LDU34" s="228"/>
      <c r="LDV34" s="228"/>
      <c r="LDW34" s="228"/>
      <c r="LDX34" s="228"/>
      <c r="LDY34" s="228"/>
      <c r="LDZ34" s="228"/>
      <c r="LEA34" s="228"/>
      <c r="LEB34" s="228"/>
      <c r="LEC34" s="228"/>
      <c r="LED34" s="228"/>
      <c r="LEE34" s="228"/>
      <c r="LEF34" s="228"/>
      <c r="LEG34" s="228"/>
      <c r="LEH34" s="228"/>
      <c r="LEI34" s="228"/>
      <c r="LEJ34" s="228"/>
      <c r="LEK34" s="228"/>
      <c r="LEL34" s="228"/>
      <c r="LEM34" s="228"/>
      <c r="LEN34" s="228"/>
      <c r="LEO34" s="228"/>
      <c r="LEP34" s="228"/>
      <c r="LEQ34" s="228"/>
      <c r="LER34" s="228"/>
      <c r="LES34" s="228"/>
      <c r="LET34" s="228"/>
      <c r="LEU34" s="228"/>
      <c r="LEV34" s="228"/>
      <c r="LEW34" s="228"/>
      <c r="LEX34" s="228"/>
      <c r="LEY34" s="228"/>
      <c r="LEZ34" s="228"/>
      <c r="LFA34" s="228"/>
      <c r="LFB34" s="228"/>
      <c r="LFC34" s="228"/>
      <c r="LFD34" s="228"/>
      <c r="LFE34" s="228"/>
      <c r="LFF34" s="228"/>
      <c r="LFG34" s="228"/>
      <c r="LFH34" s="228"/>
      <c r="LFI34" s="228"/>
      <c r="LFJ34" s="228"/>
      <c r="LFK34" s="228"/>
      <c r="LFL34" s="228"/>
      <c r="LFM34" s="228"/>
      <c r="LFN34" s="228"/>
      <c r="LFO34" s="228"/>
      <c r="LFP34" s="228"/>
      <c r="LFQ34" s="228"/>
      <c r="LFR34" s="228"/>
      <c r="LFS34" s="228"/>
      <c r="LFT34" s="228"/>
      <c r="LFU34" s="228"/>
      <c r="LFV34" s="228"/>
      <c r="LFW34" s="228"/>
      <c r="LFX34" s="228"/>
      <c r="LFY34" s="228"/>
      <c r="LFZ34" s="228"/>
      <c r="LGA34" s="228"/>
      <c r="LGB34" s="228"/>
      <c r="LGC34" s="228"/>
      <c r="LGD34" s="228"/>
      <c r="LGE34" s="228"/>
      <c r="LGF34" s="228"/>
      <c r="LGG34" s="228"/>
      <c r="LGH34" s="228"/>
      <c r="LGI34" s="228"/>
      <c r="LGJ34" s="228"/>
      <c r="LGK34" s="228"/>
      <c r="LGL34" s="228"/>
      <c r="LGM34" s="228"/>
      <c r="LGN34" s="228"/>
      <c r="LGO34" s="228"/>
      <c r="LGP34" s="228"/>
      <c r="LGQ34" s="228"/>
      <c r="LGR34" s="228"/>
      <c r="LGS34" s="228"/>
      <c r="LGT34" s="228"/>
      <c r="LGU34" s="228"/>
      <c r="LGV34" s="228"/>
      <c r="LGW34" s="228"/>
      <c r="LGX34" s="228"/>
      <c r="LGY34" s="228"/>
      <c r="LGZ34" s="228"/>
      <c r="LHA34" s="228"/>
      <c r="LHB34" s="228"/>
      <c r="LHC34" s="228"/>
      <c r="LHD34" s="228"/>
      <c r="LHE34" s="228"/>
      <c r="LHF34" s="228"/>
      <c r="LHG34" s="228"/>
      <c r="LHH34" s="228"/>
      <c r="LHI34" s="228"/>
      <c r="LHJ34" s="228"/>
      <c r="LHK34" s="228"/>
      <c r="LHL34" s="228"/>
      <c r="LHM34" s="228"/>
      <c r="LHN34" s="228"/>
      <c r="LHO34" s="228"/>
      <c r="LHP34" s="228"/>
      <c r="LHQ34" s="228"/>
      <c r="LHR34" s="228"/>
      <c r="LHS34" s="228"/>
      <c r="LHT34" s="228"/>
      <c r="LHU34" s="228"/>
      <c r="LHV34" s="228"/>
      <c r="LHW34" s="228"/>
      <c r="LHX34" s="228"/>
      <c r="LHY34" s="228"/>
      <c r="LHZ34" s="228"/>
      <c r="LIA34" s="228"/>
      <c r="LIB34" s="228"/>
      <c r="LIC34" s="228"/>
      <c r="LID34" s="228"/>
      <c r="LIE34" s="228"/>
      <c r="LIF34" s="228"/>
      <c r="LIG34" s="228"/>
      <c r="LIH34" s="228"/>
      <c r="LII34" s="228"/>
      <c r="LIJ34" s="228"/>
      <c r="LIK34" s="228"/>
      <c r="LIL34" s="228"/>
      <c r="LIM34" s="228"/>
      <c r="LIN34" s="228"/>
      <c r="LIO34" s="228"/>
      <c r="LIP34" s="228"/>
      <c r="LIQ34" s="228"/>
      <c r="LIR34" s="228"/>
      <c r="LIS34" s="228"/>
      <c r="LIT34" s="228"/>
      <c r="LIU34" s="228"/>
      <c r="LIV34" s="228"/>
      <c r="LIW34" s="228"/>
      <c r="LIX34" s="228"/>
      <c r="LIY34" s="228"/>
      <c r="LIZ34" s="228"/>
      <c r="LJA34" s="228"/>
      <c r="LJB34" s="228"/>
      <c r="LJC34" s="228"/>
      <c r="LJD34" s="228"/>
      <c r="LJE34" s="228"/>
      <c r="LJF34" s="228"/>
      <c r="LJG34" s="228"/>
      <c r="LJH34" s="228"/>
      <c r="LJI34" s="228"/>
      <c r="LJJ34" s="228"/>
      <c r="LJK34" s="228"/>
      <c r="LJL34" s="228"/>
      <c r="LJM34" s="228"/>
      <c r="LJN34" s="228"/>
      <c r="LJO34" s="228"/>
      <c r="LJP34" s="228"/>
      <c r="LJQ34" s="228"/>
      <c r="LJR34" s="228"/>
      <c r="LJS34" s="228"/>
      <c r="LJT34" s="228"/>
      <c r="LJU34" s="228"/>
      <c r="LJV34" s="228"/>
      <c r="LJW34" s="228"/>
      <c r="LJX34" s="228"/>
      <c r="LJY34" s="228"/>
      <c r="LJZ34" s="228"/>
      <c r="LKA34" s="228"/>
      <c r="LKB34" s="228"/>
      <c r="LKC34" s="228"/>
      <c r="LKD34" s="228"/>
      <c r="LKE34" s="228"/>
      <c r="LKF34" s="228"/>
      <c r="LKG34" s="228"/>
      <c r="LKH34" s="228"/>
      <c r="LKI34" s="228"/>
      <c r="LKJ34" s="228"/>
      <c r="LKK34" s="228"/>
      <c r="LKL34" s="228"/>
      <c r="LKM34" s="228"/>
      <c r="LKN34" s="228"/>
      <c r="LKO34" s="228"/>
      <c r="LKP34" s="228"/>
      <c r="LKQ34" s="228"/>
      <c r="LKR34" s="228"/>
      <c r="LKS34" s="228"/>
      <c r="LKT34" s="228"/>
      <c r="LKU34" s="228"/>
      <c r="LKV34" s="228"/>
      <c r="LKW34" s="228"/>
      <c r="LKX34" s="228"/>
      <c r="LKY34" s="228"/>
      <c r="LKZ34" s="228"/>
      <c r="LLA34" s="228"/>
      <c r="LLB34" s="228"/>
      <c r="LLC34" s="228"/>
      <c r="LLD34" s="228"/>
      <c r="LLE34" s="228"/>
      <c r="LLF34" s="228"/>
      <c r="LLG34" s="228"/>
      <c r="LLH34" s="228"/>
      <c r="LLI34" s="228"/>
      <c r="LLJ34" s="228"/>
      <c r="LLK34" s="228"/>
      <c r="LLL34" s="228"/>
      <c r="LLM34" s="228"/>
      <c r="LLN34" s="228"/>
      <c r="LLO34" s="228"/>
      <c r="LLP34" s="228"/>
      <c r="LLQ34" s="228"/>
      <c r="LLR34" s="228"/>
      <c r="LLS34" s="228"/>
      <c r="LLT34" s="228"/>
      <c r="LLU34" s="228"/>
      <c r="LLV34" s="228"/>
      <c r="LLW34" s="228"/>
      <c r="LLX34" s="228"/>
      <c r="LLY34" s="228"/>
      <c r="LLZ34" s="228"/>
      <c r="LMA34" s="228"/>
      <c r="LMB34" s="228"/>
      <c r="LMC34" s="228"/>
      <c r="LMD34" s="228"/>
      <c r="LME34" s="228"/>
      <c r="LMF34" s="228"/>
      <c r="LMG34" s="228"/>
      <c r="LMH34" s="228"/>
      <c r="LMI34" s="228"/>
      <c r="LMJ34" s="228"/>
      <c r="LMK34" s="228"/>
      <c r="LML34" s="228"/>
      <c r="LMM34" s="228"/>
      <c r="LMN34" s="228"/>
      <c r="LMO34" s="228"/>
      <c r="LMP34" s="228"/>
      <c r="LMQ34" s="228"/>
      <c r="LMR34" s="228"/>
      <c r="LMS34" s="228"/>
      <c r="LMT34" s="228"/>
      <c r="LMU34" s="228"/>
      <c r="LMV34" s="228"/>
      <c r="LMW34" s="228"/>
      <c r="LMX34" s="228"/>
      <c r="LMY34" s="228"/>
      <c r="LMZ34" s="228"/>
      <c r="LNA34" s="228"/>
      <c r="LNB34" s="228"/>
      <c r="LNC34" s="228"/>
      <c r="LND34" s="228"/>
      <c r="LNE34" s="228"/>
      <c r="LNF34" s="228"/>
      <c r="LNG34" s="228"/>
      <c r="LNH34" s="228"/>
      <c r="LNI34" s="228"/>
      <c r="LNJ34" s="228"/>
      <c r="LNK34" s="228"/>
      <c r="LNL34" s="228"/>
      <c r="LNM34" s="228"/>
      <c r="LNN34" s="228"/>
      <c r="LNO34" s="228"/>
      <c r="LNP34" s="228"/>
      <c r="LNQ34" s="228"/>
      <c r="LNR34" s="228"/>
      <c r="LNS34" s="228"/>
      <c r="LNT34" s="228"/>
      <c r="LNU34" s="228"/>
      <c r="LNV34" s="228"/>
      <c r="LNW34" s="228"/>
      <c r="LNX34" s="228"/>
      <c r="LNY34" s="228"/>
      <c r="LNZ34" s="228"/>
      <c r="LOA34" s="228"/>
      <c r="LOB34" s="228"/>
      <c r="LOC34" s="228"/>
      <c r="LOD34" s="228"/>
      <c r="LOE34" s="228"/>
      <c r="LOF34" s="228"/>
      <c r="LOG34" s="228"/>
      <c r="LOH34" s="228"/>
      <c r="LOI34" s="228"/>
      <c r="LOJ34" s="228"/>
      <c r="LOK34" s="228"/>
      <c r="LOL34" s="228"/>
      <c r="LOM34" s="228"/>
      <c r="LON34" s="228"/>
      <c r="LOO34" s="228"/>
      <c r="LOP34" s="228"/>
      <c r="LOQ34" s="228"/>
      <c r="LOR34" s="228"/>
      <c r="LOS34" s="228"/>
      <c r="LOT34" s="228"/>
      <c r="LOU34" s="228"/>
      <c r="LOV34" s="228"/>
      <c r="LOW34" s="228"/>
      <c r="LOX34" s="228"/>
      <c r="LOY34" s="228"/>
      <c r="LOZ34" s="228"/>
      <c r="LPA34" s="228"/>
      <c r="LPB34" s="228"/>
      <c r="LPC34" s="228"/>
      <c r="LPD34" s="228"/>
      <c r="LPE34" s="228"/>
      <c r="LPF34" s="228"/>
      <c r="LPG34" s="228"/>
      <c r="LPH34" s="228"/>
      <c r="LPI34" s="228"/>
      <c r="LPJ34" s="228"/>
      <c r="LPK34" s="228"/>
      <c r="LPL34" s="228"/>
      <c r="LPM34" s="228"/>
      <c r="LPN34" s="228"/>
      <c r="LPO34" s="228"/>
      <c r="LPP34" s="228"/>
      <c r="LPQ34" s="228"/>
      <c r="LPR34" s="228"/>
      <c r="LPS34" s="228"/>
      <c r="LPT34" s="228"/>
      <c r="LPU34" s="228"/>
      <c r="LPV34" s="228"/>
      <c r="LPW34" s="228"/>
      <c r="LPX34" s="228"/>
      <c r="LPY34" s="228"/>
      <c r="LPZ34" s="228"/>
      <c r="LQA34" s="228"/>
      <c r="LQB34" s="228"/>
      <c r="LQC34" s="228"/>
      <c r="LQD34" s="228"/>
      <c r="LQE34" s="228"/>
      <c r="LQF34" s="228"/>
      <c r="LQG34" s="228"/>
      <c r="LQH34" s="228"/>
      <c r="LQI34" s="228"/>
      <c r="LQJ34" s="228"/>
      <c r="LQK34" s="228"/>
      <c r="LQL34" s="228"/>
      <c r="LQM34" s="228"/>
      <c r="LQN34" s="228"/>
      <c r="LQO34" s="228"/>
      <c r="LQP34" s="228"/>
      <c r="LQQ34" s="228"/>
      <c r="LQR34" s="228"/>
      <c r="LQS34" s="228"/>
      <c r="LQT34" s="228"/>
      <c r="LQU34" s="228"/>
      <c r="LQV34" s="228"/>
      <c r="LQW34" s="228"/>
      <c r="LQX34" s="228"/>
      <c r="LQY34" s="228"/>
      <c r="LQZ34" s="228"/>
      <c r="LRA34" s="228"/>
      <c r="LRB34" s="228"/>
      <c r="LRC34" s="228"/>
      <c r="LRD34" s="228"/>
      <c r="LRE34" s="228"/>
      <c r="LRF34" s="228"/>
      <c r="LRG34" s="228"/>
      <c r="LRH34" s="228"/>
      <c r="LRI34" s="228"/>
      <c r="LRJ34" s="228"/>
      <c r="LRK34" s="228"/>
      <c r="LRL34" s="228"/>
      <c r="LRM34" s="228"/>
      <c r="LRN34" s="228"/>
      <c r="LRO34" s="228"/>
      <c r="LRP34" s="228"/>
      <c r="LRQ34" s="228"/>
      <c r="LRR34" s="228"/>
      <c r="LRS34" s="228"/>
      <c r="LRT34" s="228"/>
      <c r="LRU34" s="228"/>
      <c r="LRV34" s="228"/>
      <c r="LRW34" s="228"/>
      <c r="LRX34" s="228"/>
      <c r="LRY34" s="228"/>
      <c r="LRZ34" s="228"/>
      <c r="LSA34" s="228"/>
      <c r="LSB34" s="228"/>
      <c r="LSC34" s="228"/>
      <c r="LSD34" s="228"/>
      <c r="LSE34" s="228"/>
      <c r="LSF34" s="228"/>
      <c r="LSG34" s="228"/>
      <c r="LSH34" s="228"/>
      <c r="LSI34" s="228"/>
      <c r="LSJ34" s="228"/>
      <c r="LSK34" s="228"/>
      <c r="LSL34" s="228"/>
      <c r="LSM34" s="228"/>
      <c r="LSN34" s="228"/>
      <c r="LSO34" s="228"/>
      <c r="LSP34" s="228"/>
      <c r="LSQ34" s="228"/>
      <c r="LSR34" s="228"/>
      <c r="LSS34" s="228"/>
      <c r="LST34" s="228"/>
      <c r="LSU34" s="228"/>
      <c r="LSV34" s="228"/>
      <c r="LSW34" s="228"/>
      <c r="LSX34" s="228"/>
      <c r="LSY34" s="228"/>
      <c r="LSZ34" s="228"/>
      <c r="LTA34" s="228"/>
      <c r="LTB34" s="228"/>
      <c r="LTC34" s="228"/>
      <c r="LTD34" s="228"/>
      <c r="LTE34" s="228"/>
      <c r="LTF34" s="228"/>
      <c r="LTG34" s="228"/>
      <c r="LTH34" s="228"/>
      <c r="LTI34" s="228"/>
      <c r="LTJ34" s="228"/>
      <c r="LTK34" s="228"/>
      <c r="LTL34" s="228"/>
      <c r="LTM34" s="228"/>
      <c r="LTN34" s="228"/>
      <c r="LTO34" s="228"/>
      <c r="LTP34" s="228"/>
      <c r="LTQ34" s="228"/>
      <c r="LTR34" s="228"/>
      <c r="LTS34" s="228"/>
      <c r="LTT34" s="228"/>
      <c r="LTU34" s="228"/>
      <c r="LTV34" s="228"/>
      <c r="LTW34" s="228"/>
      <c r="LTX34" s="228"/>
      <c r="LTY34" s="228"/>
      <c r="LTZ34" s="228"/>
      <c r="LUA34" s="228"/>
      <c r="LUB34" s="228"/>
      <c r="LUC34" s="228"/>
      <c r="LUD34" s="228"/>
      <c r="LUE34" s="228"/>
      <c r="LUF34" s="228"/>
      <c r="LUG34" s="228"/>
      <c r="LUH34" s="228"/>
      <c r="LUI34" s="228"/>
      <c r="LUJ34" s="228"/>
      <c r="LUK34" s="228"/>
      <c r="LUL34" s="228"/>
      <c r="LUM34" s="228"/>
      <c r="LUN34" s="228"/>
      <c r="LUO34" s="228"/>
      <c r="LUP34" s="228"/>
      <c r="LUQ34" s="228"/>
      <c r="LUR34" s="228"/>
      <c r="LUS34" s="228"/>
      <c r="LUT34" s="228"/>
      <c r="LUU34" s="228"/>
      <c r="LUV34" s="228"/>
      <c r="LUW34" s="228"/>
      <c r="LUX34" s="228"/>
      <c r="LUY34" s="228"/>
      <c r="LUZ34" s="228"/>
      <c r="LVA34" s="228"/>
      <c r="LVB34" s="228"/>
      <c r="LVC34" s="228"/>
      <c r="LVD34" s="228"/>
      <c r="LVE34" s="228"/>
      <c r="LVF34" s="228"/>
      <c r="LVG34" s="228"/>
      <c r="LVH34" s="228"/>
      <c r="LVI34" s="228"/>
      <c r="LVJ34" s="228"/>
      <c r="LVK34" s="228"/>
      <c r="LVL34" s="228"/>
      <c r="LVM34" s="228"/>
      <c r="LVN34" s="228"/>
      <c r="LVO34" s="228"/>
      <c r="LVP34" s="228"/>
      <c r="LVQ34" s="228"/>
      <c r="LVR34" s="228"/>
      <c r="LVS34" s="228"/>
      <c r="LVT34" s="228"/>
      <c r="LVU34" s="228"/>
      <c r="LVV34" s="228"/>
      <c r="LVW34" s="228"/>
      <c r="LVX34" s="228"/>
      <c r="LVY34" s="228"/>
      <c r="LVZ34" s="228"/>
      <c r="LWA34" s="228"/>
      <c r="LWB34" s="228"/>
      <c r="LWC34" s="228"/>
      <c r="LWD34" s="228"/>
      <c r="LWE34" s="228"/>
      <c r="LWF34" s="228"/>
      <c r="LWG34" s="228"/>
      <c r="LWH34" s="228"/>
      <c r="LWI34" s="228"/>
      <c r="LWJ34" s="228"/>
      <c r="LWK34" s="228"/>
      <c r="LWL34" s="228"/>
      <c r="LWM34" s="228"/>
      <c r="LWN34" s="228"/>
      <c r="LWO34" s="228"/>
      <c r="LWP34" s="228"/>
      <c r="LWQ34" s="228"/>
      <c r="LWR34" s="228"/>
      <c r="LWS34" s="228"/>
      <c r="LWT34" s="228"/>
      <c r="LWU34" s="228"/>
      <c r="LWV34" s="228"/>
      <c r="LWW34" s="228"/>
      <c r="LWX34" s="228"/>
      <c r="LWY34" s="228"/>
      <c r="LWZ34" s="228"/>
      <c r="LXA34" s="228"/>
      <c r="LXB34" s="228"/>
      <c r="LXC34" s="228"/>
      <c r="LXD34" s="228"/>
      <c r="LXE34" s="228"/>
      <c r="LXF34" s="228"/>
      <c r="LXG34" s="228"/>
      <c r="LXH34" s="228"/>
      <c r="LXI34" s="228"/>
      <c r="LXJ34" s="228"/>
      <c r="LXK34" s="228"/>
      <c r="LXL34" s="228"/>
      <c r="LXM34" s="228"/>
      <c r="LXN34" s="228"/>
      <c r="LXO34" s="228"/>
      <c r="LXP34" s="228"/>
      <c r="LXQ34" s="228"/>
      <c r="LXR34" s="228"/>
      <c r="LXS34" s="228"/>
      <c r="LXT34" s="228"/>
      <c r="LXU34" s="228"/>
      <c r="LXV34" s="228"/>
      <c r="LXW34" s="228"/>
      <c r="LXX34" s="228"/>
      <c r="LXY34" s="228"/>
      <c r="LXZ34" s="228"/>
      <c r="LYA34" s="228"/>
      <c r="LYB34" s="228"/>
      <c r="LYC34" s="228"/>
      <c r="LYD34" s="228"/>
      <c r="LYE34" s="228"/>
      <c r="LYF34" s="228"/>
      <c r="LYG34" s="228"/>
      <c r="LYH34" s="228"/>
      <c r="LYI34" s="228"/>
      <c r="LYJ34" s="228"/>
      <c r="LYK34" s="228"/>
      <c r="LYL34" s="228"/>
      <c r="LYM34" s="228"/>
      <c r="LYN34" s="228"/>
      <c r="LYO34" s="228"/>
      <c r="LYP34" s="228"/>
      <c r="LYQ34" s="228"/>
      <c r="LYR34" s="228"/>
      <c r="LYS34" s="228"/>
      <c r="LYT34" s="228"/>
      <c r="LYU34" s="228"/>
      <c r="LYV34" s="228"/>
      <c r="LYW34" s="228"/>
      <c r="LYX34" s="228"/>
      <c r="LYY34" s="228"/>
      <c r="LYZ34" s="228"/>
      <c r="LZA34" s="228"/>
      <c r="LZB34" s="228"/>
      <c r="LZC34" s="228"/>
      <c r="LZD34" s="228"/>
      <c r="LZE34" s="228"/>
      <c r="LZF34" s="228"/>
      <c r="LZG34" s="228"/>
      <c r="LZH34" s="228"/>
      <c r="LZI34" s="228"/>
      <c r="LZJ34" s="228"/>
      <c r="LZK34" s="228"/>
      <c r="LZL34" s="228"/>
      <c r="LZM34" s="228"/>
      <c r="LZN34" s="228"/>
      <c r="LZO34" s="228"/>
      <c r="LZP34" s="228"/>
      <c r="LZQ34" s="228"/>
      <c r="LZR34" s="228"/>
      <c r="LZS34" s="228"/>
      <c r="LZT34" s="228"/>
      <c r="LZU34" s="228"/>
      <c r="LZV34" s="228"/>
      <c r="LZW34" s="228"/>
      <c r="LZX34" s="228"/>
      <c r="LZY34" s="228"/>
      <c r="LZZ34" s="228"/>
      <c r="MAA34" s="228"/>
      <c r="MAB34" s="228"/>
      <c r="MAC34" s="228"/>
      <c r="MAD34" s="228"/>
      <c r="MAE34" s="228"/>
      <c r="MAF34" s="228"/>
      <c r="MAG34" s="228"/>
      <c r="MAH34" s="228"/>
      <c r="MAI34" s="228"/>
      <c r="MAJ34" s="228"/>
      <c r="MAK34" s="228"/>
      <c r="MAL34" s="228"/>
      <c r="MAM34" s="228"/>
      <c r="MAN34" s="228"/>
      <c r="MAO34" s="228"/>
      <c r="MAP34" s="228"/>
      <c r="MAQ34" s="228"/>
      <c r="MAR34" s="228"/>
      <c r="MAS34" s="228"/>
      <c r="MAT34" s="228"/>
      <c r="MAU34" s="228"/>
      <c r="MAV34" s="228"/>
      <c r="MAW34" s="228"/>
      <c r="MAX34" s="228"/>
      <c r="MAY34" s="228"/>
      <c r="MAZ34" s="228"/>
      <c r="MBA34" s="228"/>
      <c r="MBB34" s="228"/>
      <c r="MBC34" s="228"/>
      <c r="MBD34" s="228"/>
      <c r="MBE34" s="228"/>
      <c r="MBF34" s="228"/>
      <c r="MBG34" s="228"/>
      <c r="MBH34" s="228"/>
      <c r="MBI34" s="228"/>
      <c r="MBJ34" s="228"/>
      <c r="MBK34" s="228"/>
      <c r="MBL34" s="228"/>
      <c r="MBM34" s="228"/>
      <c r="MBN34" s="228"/>
      <c r="MBO34" s="228"/>
      <c r="MBP34" s="228"/>
      <c r="MBQ34" s="228"/>
      <c r="MBR34" s="228"/>
      <c r="MBS34" s="228"/>
      <c r="MBT34" s="228"/>
      <c r="MBU34" s="228"/>
      <c r="MBV34" s="228"/>
      <c r="MBW34" s="228"/>
      <c r="MBX34" s="228"/>
      <c r="MBY34" s="228"/>
      <c r="MBZ34" s="228"/>
      <c r="MCA34" s="228"/>
      <c r="MCB34" s="228"/>
      <c r="MCC34" s="228"/>
      <c r="MCD34" s="228"/>
      <c r="MCE34" s="228"/>
      <c r="MCF34" s="228"/>
      <c r="MCG34" s="228"/>
      <c r="MCH34" s="228"/>
      <c r="MCI34" s="228"/>
      <c r="MCJ34" s="228"/>
      <c r="MCK34" s="228"/>
      <c r="MCL34" s="228"/>
      <c r="MCM34" s="228"/>
      <c r="MCN34" s="228"/>
      <c r="MCO34" s="228"/>
      <c r="MCP34" s="228"/>
      <c r="MCQ34" s="228"/>
      <c r="MCR34" s="228"/>
      <c r="MCS34" s="228"/>
      <c r="MCT34" s="228"/>
      <c r="MCU34" s="228"/>
      <c r="MCV34" s="228"/>
      <c r="MCW34" s="228"/>
      <c r="MCX34" s="228"/>
      <c r="MCY34" s="228"/>
      <c r="MCZ34" s="228"/>
      <c r="MDA34" s="228"/>
      <c r="MDB34" s="228"/>
      <c r="MDC34" s="228"/>
      <c r="MDD34" s="228"/>
      <c r="MDE34" s="228"/>
      <c r="MDF34" s="228"/>
      <c r="MDG34" s="228"/>
      <c r="MDH34" s="228"/>
      <c r="MDI34" s="228"/>
      <c r="MDJ34" s="228"/>
      <c r="MDK34" s="228"/>
      <c r="MDL34" s="228"/>
      <c r="MDM34" s="228"/>
      <c r="MDN34" s="228"/>
      <c r="MDO34" s="228"/>
      <c r="MDP34" s="228"/>
      <c r="MDQ34" s="228"/>
      <c r="MDR34" s="228"/>
      <c r="MDS34" s="228"/>
      <c r="MDT34" s="228"/>
      <c r="MDU34" s="228"/>
      <c r="MDV34" s="228"/>
      <c r="MDW34" s="228"/>
      <c r="MDX34" s="228"/>
      <c r="MDY34" s="228"/>
      <c r="MDZ34" s="228"/>
      <c r="MEA34" s="228"/>
      <c r="MEB34" s="228"/>
      <c r="MEC34" s="228"/>
      <c r="MED34" s="228"/>
      <c r="MEE34" s="228"/>
      <c r="MEF34" s="228"/>
      <c r="MEG34" s="228"/>
      <c r="MEH34" s="228"/>
      <c r="MEI34" s="228"/>
      <c r="MEJ34" s="228"/>
      <c r="MEK34" s="228"/>
      <c r="MEL34" s="228"/>
      <c r="MEM34" s="228"/>
      <c r="MEN34" s="228"/>
      <c r="MEO34" s="228"/>
      <c r="MEP34" s="228"/>
      <c r="MEQ34" s="228"/>
      <c r="MER34" s="228"/>
      <c r="MES34" s="228"/>
      <c r="MET34" s="228"/>
      <c r="MEU34" s="228"/>
      <c r="MEV34" s="228"/>
      <c r="MEW34" s="228"/>
      <c r="MEX34" s="228"/>
      <c r="MEY34" s="228"/>
      <c r="MEZ34" s="228"/>
      <c r="MFA34" s="228"/>
      <c r="MFB34" s="228"/>
      <c r="MFC34" s="228"/>
      <c r="MFD34" s="228"/>
      <c r="MFE34" s="228"/>
      <c r="MFF34" s="228"/>
      <c r="MFG34" s="228"/>
      <c r="MFH34" s="228"/>
      <c r="MFI34" s="228"/>
      <c r="MFJ34" s="228"/>
      <c r="MFK34" s="228"/>
      <c r="MFL34" s="228"/>
      <c r="MFM34" s="228"/>
      <c r="MFN34" s="228"/>
      <c r="MFO34" s="228"/>
      <c r="MFP34" s="228"/>
      <c r="MFQ34" s="228"/>
      <c r="MFR34" s="228"/>
      <c r="MFS34" s="228"/>
      <c r="MFT34" s="228"/>
      <c r="MFU34" s="228"/>
      <c r="MFV34" s="228"/>
      <c r="MFW34" s="228"/>
      <c r="MFX34" s="228"/>
      <c r="MFY34" s="228"/>
      <c r="MFZ34" s="228"/>
      <c r="MGA34" s="228"/>
      <c r="MGB34" s="228"/>
      <c r="MGC34" s="228"/>
      <c r="MGD34" s="228"/>
      <c r="MGE34" s="228"/>
      <c r="MGF34" s="228"/>
      <c r="MGG34" s="228"/>
      <c r="MGH34" s="228"/>
      <c r="MGI34" s="228"/>
      <c r="MGJ34" s="228"/>
      <c r="MGK34" s="228"/>
      <c r="MGL34" s="228"/>
      <c r="MGM34" s="228"/>
      <c r="MGN34" s="228"/>
      <c r="MGO34" s="228"/>
      <c r="MGP34" s="228"/>
      <c r="MGQ34" s="228"/>
      <c r="MGR34" s="228"/>
      <c r="MGS34" s="228"/>
      <c r="MGT34" s="228"/>
      <c r="MGU34" s="228"/>
      <c r="MGV34" s="228"/>
      <c r="MGW34" s="228"/>
      <c r="MGX34" s="228"/>
      <c r="MGY34" s="228"/>
      <c r="MGZ34" s="228"/>
      <c r="MHA34" s="228"/>
      <c r="MHB34" s="228"/>
      <c r="MHC34" s="228"/>
      <c r="MHD34" s="228"/>
      <c r="MHE34" s="228"/>
      <c r="MHF34" s="228"/>
      <c r="MHG34" s="228"/>
      <c r="MHH34" s="228"/>
      <c r="MHI34" s="228"/>
      <c r="MHJ34" s="228"/>
      <c r="MHK34" s="228"/>
      <c r="MHL34" s="228"/>
      <c r="MHM34" s="228"/>
      <c r="MHN34" s="228"/>
      <c r="MHO34" s="228"/>
      <c r="MHP34" s="228"/>
      <c r="MHQ34" s="228"/>
      <c r="MHR34" s="228"/>
      <c r="MHS34" s="228"/>
      <c r="MHT34" s="228"/>
      <c r="MHU34" s="228"/>
      <c r="MHV34" s="228"/>
      <c r="MHW34" s="228"/>
      <c r="MHX34" s="228"/>
      <c r="MHY34" s="228"/>
      <c r="MHZ34" s="228"/>
      <c r="MIA34" s="228"/>
      <c r="MIB34" s="228"/>
      <c r="MIC34" s="228"/>
      <c r="MID34" s="228"/>
      <c r="MIE34" s="228"/>
      <c r="MIF34" s="228"/>
      <c r="MIG34" s="228"/>
      <c r="MIH34" s="228"/>
      <c r="MII34" s="228"/>
      <c r="MIJ34" s="228"/>
      <c r="MIK34" s="228"/>
      <c r="MIL34" s="228"/>
      <c r="MIM34" s="228"/>
      <c r="MIN34" s="228"/>
      <c r="MIO34" s="228"/>
      <c r="MIP34" s="228"/>
      <c r="MIQ34" s="228"/>
      <c r="MIR34" s="228"/>
      <c r="MIS34" s="228"/>
      <c r="MIT34" s="228"/>
      <c r="MIU34" s="228"/>
      <c r="MIV34" s="228"/>
      <c r="MIW34" s="228"/>
      <c r="MIX34" s="228"/>
      <c r="MIY34" s="228"/>
      <c r="MIZ34" s="228"/>
      <c r="MJA34" s="228"/>
      <c r="MJB34" s="228"/>
      <c r="MJC34" s="228"/>
      <c r="MJD34" s="228"/>
      <c r="MJE34" s="228"/>
      <c r="MJF34" s="228"/>
      <c r="MJG34" s="228"/>
      <c r="MJH34" s="228"/>
      <c r="MJI34" s="228"/>
      <c r="MJJ34" s="228"/>
      <c r="MJK34" s="228"/>
      <c r="MJL34" s="228"/>
      <c r="MJM34" s="228"/>
      <c r="MJN34" s="228"/>
      <c r="MJO34" s="228"/>
      <c r="MJP34" s="228"/>
      <c r="MJQ34" s="228"/>
      <c r="MJR34" s="228"/>
      <c r="MJS34" s="228"/>
      <c r="MJT34" s="228"/>
      <c r="MJU34" s="228"/>
      <c r="MJV34" s="228"/>
      <c r="MJW34" s="228"/>
      <c r="MJX34" s="228"/>
      <c r="MJY34" s="228"/>
      <c r="MJZ34" s="228"/>
      <c r="MKA34" s="228"/>
      <c r="MKB34" s="228"/>
      <c r="MKC34" s="228"/>
      <c r="MKD34" s="228"/>
      <c r="MKE34" s="228"/>
      <c r="MKF34" s="228"/>
      <c r="MKG34" s="228"/>
      <c r="MKH34" s="228"/>
      <c r="MKI34" s="228"/>
      <c r="MKJ34" s="228"/>
      <c r="MKK34" s="228"/>
      <c r="MKL34" s="228"/>
      <c r="MKM34" s="228"/>
      <c r="MKN34" s="228"/>
      <c r="MKO34" s="228"/>
      <c r="MKP34" s="228"/>
      <c r="MKQ34" s="228"/>
      <c r="MKR34" s="228"/>
      <c r="MKS34" s="228"/>
      <c r="MKT34" s="228"/>
      <c r="MKU34" s="228"/>
      <c r="MKV34" s="228"/>
      <c r="MKW34" s="228"/>
      <c r="MKX34" s="228"/>
      <c r="MKY34" s="228"/>
      <c r="MKZ34" s="228"/>
      <c r="MLA34" s="228"/>
      <c r="MLB34" s="228"/>
      <c r="MLC34" s="228"/>
      <c r="MLD34" s="228"/>
      <c r="MLE34" s="228"/>
      <c r="MLF34" s="228"/>
      <c r="MLG34" s="228"/>
      <c r="MLH34" s="228"/>
      <c r="MLI34" s="228"/>
      <c r="MLJ34" s="228"/>
      <c r="MLK34" s="228"/>
      <c r="MLL34" s="228"/>
      <c r="MLM34" s="228"/>
      <c r="MLN34" s="228"/>
      <c r="MLO34" s="228"/>
      <c r="MLP34" s="228"/>
      <c r="MLQ34" s="228"/>
      <c r="MLR34" s="228"/>
      <c r="MLS34" s="228"/>
      <c r="MLT34" s="228"/>
      <c r="MLU34" s="228"/>
      <c r="MLV34" s="228"/>
      <c r="MLW34" s="228"/>
      <c r="MLX34" s="228"/>
      <c r="MLY34" s="228"/>
      <c r="MLZ34" s="228"/>
      <c r="MMA34" s="228"/>
      <c r="MMB34" s="228"/>
      <c r="MMC34" s="228"/>
      <c r="MMD34" s="228"/>
      <c r="MME34" s="228"/>
      <c r="MMF34" s="228"/>
      <c r="MMG34" s="228"/>
      <c r="MMH34" s="228"/>
      <c r="MMI34" s="228"/>
      <c r="MMJ34" s="228"/>
      <c r="MMK34" s="228"/>
      <c r="MML34" s="228"/>
      <c r="MMM34" s="228"/>
      <c r="MMN34" s="228"/>
      <c r="MMO34" s="228"/>
      <c r="MMP34" s="228"/>
      <c r="MMQ34" s="228"/>
      <c r="MMR34" s="228"/>
      <c r="MMS34" s="228"/>
      <c r="MMT34" s="228"/>
      <c r="MMU34" s="228"/>
      <c r="MMV34" s="228"/>
      <c r="MMW34" s="228"/>
      <c r="MMX34" s="228"/>
      <c r="MMY34" s="228"/>
      <c r="MMZ34" s="228"/>
      <c r="MNA34" s="228"/>
      <c r="MNB34" s="228"/>
      <c r="MNC34" s="228"/>
      <c r="MND34" s="228"/>
      <c r="MNE34" s="228"/>
      <c r="MNF34" s="228"/>
      <c r="MNG34" s="228"/>
      <c r="MNH34" s="228"/>
      <c r="MNI34" s="228"/>
      <c r="MNJ34" s="228"/>
      <c r="MNK34" s="228"/>
      <c r="MNL34" s="228"/>
      <c r="MNM34" s="228"/>
      <c r="MNN34" s="228"/>
      <c r="MNO34" s="228"/>
      <c r="MNP34" s="228"/>
      <c r="MNQ34" s="228"/>
      <c r="MNR34" s="228"/>
      <c r="MNS34" s="228"/>
      <c r="MNT34" s="228"/>
      <c r="MNU34" s="228"/>
      <c r="MNV34" s="228"/>
      <c r="MNW34" s="228"/>
      <c r="MNX34" s="228"/>
      <c r="MNY34" s="228"/>
      <c r="MNZ34" s="228"/>
      <c r="MOA34" s="228"/>
      <c r="MOB34" s="228"/>
      <c r="MOC34" s="228"/>
      <c r="MOD34" s="228"/>
      <c r="MOE34" s="228"/>
      <c r="MOF34" s="228"/>
      <c r="MOG34" s="228"/>
      <c r="MOH34" s="228"/>
      <c r="MOI34" s="228"/>
      <c r="MOJ34" s="228"/>
      <c r="MOK34" s="228"/>
      <c r="MOL34" s="228"/>
      <c r="MOM34" s="228"/>
      <c r="MON34" s="228"/>
      <c r="MOO34" s="228"/>
      <c r="MOP34" s="228"/>
      <c r="MOQ34" s="228"/>
      <c r="MOR34" s="228"/>
      <c r="MOS34" s="228"/>
      <c r="MOT34" s="228"/>
      <c r="MOU34" s="228"/>
      <c r="MOV34" s="228"/>
      <c r="MOW34" s="228"/>
      <c r="MOX34" s="228"/>
      <c r="MOY34" s="228"/>
      <c r="MOZ34" s="228"/>
      <c r="MPA34" s="228"/>
      <c r="MPB34" s="228"/>
      <c r="MPC34" s="228"/>
      <c r="MPD34" s="228"/>
      <c r="MPE34" s="228"/>
      <c r="MPF34" s="228"/>
      <c r="MPG34" s="228"/>
      <c r="MPH34" s="228"/>
      <c r="MPI34" s="228"/>
      <c r="MPJ34" s="228"/>
      <c r="MPK34" s="228"/>
      <c r="MPL34" s="228"/>
      <c r="MPM34" s="228"/>
      <c r="MPN34" s="228"/>
      <c r="MPO34" s="228"/>
      <c r="MPP34" s="228"/>
      <c r="MPQ34" s="228"/>
      <c r="MPR34" s="228"/>
      <c r="MPS34" s="228"/>
      <c r="MPT34" s="228"/>
      <c r="MPU34" s="228"/>
      <c r="MPV34" s="228"/>
      <c r="MPW34" s="228"/>
      <c r="MPX34" s="228"/>
      <c r="MPY34" s="228"/>
      <c r="MPZ34" s="228"/>
      <c r="MQA34" s="228"/>
      <c r="MQB34" s="228"/>
      <c r="MQC34" s="228"/>
      <c r="MQD34" s="228"/>
      <c r="MQE34" s="228"/>
      <c r="MQF34" s="228"/>
      <c r="MQG34" s="228"/>
      <c r="MQH34" s="228"/>
      <c r="MQI34" s="228"/>
      <c r="MQJ34" s="228"/>
      <c r="MQK34" s="228"/>
      <c r="MQL34" s="228"/>
      <c r="MQM34" s="228"/>
      <c r="MQN34" s="228"/>
      <c r="MQO34" s="228"/>
      <c r="MQP34" s="228"/>
      <c r="MQQ34" s="228"/>
      <c r="MQR34" s="228"/>
      <c r="MQS34" s="228"/>
      <c r="MQT34" s="228"/>
      <c r="MQU34" s="228"/>
      <c r="MQV34" s="228"/>
      <c r="MQW34" s="228"/>
      <c r="MQX34" s="228"/>
      <c r="MQY34" s="228"/>
      <c r="MQZ34" s="228"/>
      <c r="MRA34" s="228"/>
      <c r="MRB34" s="228"/>
      <c r="MRC34" s="228"/>
      <c r="MRD34" s="228"/>
      <c r="MRE34" s="228"/>
      <c r="MRF34" s="228"/>
      <c r="MRG34" s="228"/>
      <c r="MRH34" s="228"/>
      <c r="MRI34" s="228"/>
      <c r="MRJ34" s="228"/>
      <c r="MRK34" s="228"/>
      <c r="MRL34" s="228"/>
      <c r="MRM34" s="228"/>
      <c r="MRN34" s="228"/>
      <c r="MRO34" s="228"/>
      <c r="MRP34" s="228"/>
      <c r="MRQ34" s="228"/>
      <c r="MRR34" s="228"/>
      <c r="MRS34" s="228"/>
      <c r="MRT34" s="228"/>
      <c r="MRU34" s="228"/>
      <c r="MRV34" s="228"/>
      <c r="MRW34" s="228"/>
      <c r="MRX34" s="228"/>
      <c r="MRY34" s="228"/>
      <c r="MRZ34" s="228"/>
      <c r="MSA34" s="228"/>
      <c r="MSB34" s="228"/>
      <c r="MSC34" s="228"/>
      <c r="MSD34" s="228"/>
      <c r="MSE34" s="228"/>
      <c r="MSF34" s="228"/>
      <c r="MSG34" s="228"/>
      <c r="MSH34" s="228"/>
      <c r="MSI34" s="228"/>
      <c r="MSJ34" s="228"/>
      <c r="MSK34" s="228"/>
      <c r="MSL34" s="228"/>
      <c r="MSM34" s="228"/>
      <c r="MSN34" s="228"/>
      <c r="MSO34" s="228"/>
      <c r="MSP34" s="228"/>
      <c r="MSQ34" s="228"/>
      <c r="MSR34" s="228"/>
      <c r="MSS34" s="228"/>
      <c r="MST34" s="228"/>
      <c r="MSU34" s="228"/>
      <c r="MSV34" s="228"/>
      <c r="MSW34" s="228"/>
      <c r="MSX34" s="228"/>
      <c r="MSY34" s="228"/>
      <c r="MSZ34" s="228"/>
      <c r="MTA34" s="228"/>
      <c r="MTB34" s="228"/>
      <c r="MTC34" s="228"/>
      <c r="MTD34" s="228"/>
      <c r="MTE34" s="228"/>
      <c r="MTF34" s="228"/>
      <c r="MTG34" s="228"/>
      <c r="MTH34" s="228"/>
      <c r="MTI34" s="228"/>
      <c r="MTJ34" s="228"/>
      <c r="MTK34" s="228"/>
      <c r="MTL34" s="228"/>
      <c r="MTM34" s="228"/>
      <c r="MTN34" s="228"/>
      <c r="MTO34" s="228"/>
      <c r="MTP34" s="228"/>
      <c r="MTQ34" s="228"/>
      <c r="MTR34" s="228"/>
      <c r="MTS34" s="228"/>
      <c r="MTT34" s="228"/>
      <c r="MTU34" s="228"/>
      <c r="MTV34" s="228"/>
      <c r="MTW34" s="228"/>
      <c r="MTX34" s="228"/>
      <c r="MTY34" s="228"/>
      <c r="MTZ34" s="228"/>
      <c r="MUA34" s="228"/>
      <c r="MUB34" s="228"/>
      <c r="MUC34" s="228"/>
      <c r="MUD34" s="228"/>
      <c r="MUE34" s="228"/>
      <c r="MUF34" s="228"/>
      <c r="MUG34" s="228"/>
      <c r="MUH34" s="228"/>
      <c r="MUI34" s="228"/>
      <c r="MUJ34" s="228"/>
      <c r="MUK34" s="228"/>
      <c r="MUL34" s="228"/>
      <c r="MUM34" s="228"/>
      <c r="MUN34" s="228"/>
      <c r="MUO34" s="228"/>
      <c r="MUP34" s="228"/>
      <c r="MUQ34" s="228"/>
      <c r="MUR34" s="228"/>
      <c r="MUS34" s="228"/>
      <c r="MUT34" s="228"/>
      <c r="MUU34" s="228"/>
      <c r="MUV34" s="228"/>
      <c r="MUW34" s="228"/>
      <c r="MUX34" s="228"/>
      <c r="MUY34" s="228"/>
      <c r="MUZ34" s="228"/>
      <c r="MVA34" s="228"/>
      <c r="MVB34" s="228"/>
      <c r="MVC34" s="228"/>
      <c r="MVD34" s="228"/>
      <c r="MVE34" s="228"/>
      <c r="MVF34" s="228"/>
      <c r="MVG34" s="228"/>
      <c r="MVH34" s="228"/>
      <c r="MVI34" s="228"/>
      <c r="MVJ34" s="228"/>
      <c r="MVK34" s="228"/>
      <c r="MVL34" s="228"/>
      <c r="MVM34" s="228"/>
      <c r="MVN34" s="228"/>
      <c r="MVO34" s="228"/>
      <c r="MVP34" s="228"/>
      <c r="MVQ34" s="228"/>
      <c r="MVR34" s="228"/>
      <c r="MVS34" s="228"/>
      <c r="MVT34" s="228"/>
      <c r="MVU34" s="228"/>
      <c r="MVV34" s="228"/>
      <c r="MVW34" s="228"/>
      <c r="MVX34" s="228"/>
      <c r="MVY34" s="228"/>
      <c r="MVZ34" s="228"/>
      <c r="MWA34" s="228"/>
      <c r="MWB34" s="228"/>
      <c r="MWC34" s="228"/>
      <c r="MWD34" s="228"/>
      <c r="MWE34" s="228"/>
      <c r="MWF34" s="228"/>
      <c r="MWG34" s="228"/>
      <c r="MWH34" s="228"/>
      <c r="MWI34" s="228"/>
      <c r="MWJ34" s="228"/>
      <c r="MWK34" s="228"/>
      <c r="MWL34" s="228"/>
      <c r="MWM34" s="228"/>
      <c r="MWN34" s="228"/>
      <c r="MWO34" s="228"/>
      <c r="MWP34" s="228"/>
      <c r="MWQ34" s="228"/>
      <c r="MWR34" s="228"/>
      <c r="MWS34" s="228"/>
      <c r="MWT34" s="228"/>
      <c r="MWU34" s="228"/>
      <c r="MWV34" s="228"/>
      <c r="MWW34" s="228"/>
      <c r="MWX34" s="228"/>
      <c r="MWY34" s="228"/>
      <c r="MWZ34" s="228"/>
      <c r="MXA34" s="228"/>
      <c r="MXB34" s="228"/>
      <c r="MXC34" s="228"/>
      <c r="MXD34" s="228"/>
      <c r="MXE34" s="228"/>
      <c r="MXF34" s="228"/>
      <c r="MXG34" s="228"/>
      <c r="MXH34" s="228"/>
      <c r="MXI34" s="228"/>
      <c r="MXJ34" s="228"/>
      <c r="MXK34" s="228"/>
      <c r="MXL34" s="228"/>
      <c r="MXM34" s="228"/>
      <c r="MXN34" s="228"/>
      <c r="MXO34" s="228"/>
      <c r="MXP34" s="228"/>
      <c r="MXQ34" s="228"/>
      <c r="MXR34" s="228"/>
      <c r="MXS34" s="228"/>
      <c r="MXT34" s="228"/>
      <c r="MXU34" s="228"/>
      <c r="MXV34" s="228"/>
      <c r="MXW34" s="228"/>
      <c r="MXX34" s="228"/>
      <c r="MXY34" s="228"/>
      <c r="MXZ34" s="228"/>
      <c r="MYA34" s="228"/>
      <c r="MYB34" s="228"/>
      <c r="MYC34" s="228"/>
      <c r="MYD34" s="228"/>
      <c r="MYE34" s="228"/>
      <c r="MYF34" s="228"/>
      <c r="MYG34" s="228"/>
      <c r="MYH34" s="228"/>
      <c r="MYI34" s="228"/>
      <c r="MYJ34" s="228"/>
      <c r="MYK34" s="228"/>
      <c r="MYL34" s="228"/>
      <c r="MYM34" s="228"/>
      <c r="MYN34" s="228"/>
      <c r="MYO34" s="228"/>
      <c r="MYP34" s="228"/>
      <c r="MYQ34" s="228"/>
      <c r="MYR34" s="228"/>
      <c r="MYS34" s="228"/>
      <c r="MYT34" s="228"/>
      <c r="MYU34" s="228"/>
      <c r="MYV34" s="228"/>
      <c r="MYW34" s="228"/>
      <c r="MYX34" s="228"/>
      <c r="MYY34" s="228"/>
      <c r="MYZ34" s="228"/>
      <c r="MZA34" s="228"/>
      <c r="MZB34" s="228"/>
      <c r="MZC34" s="228"/>
      <c r="MZD34" s="228"/>
      <c r="MZE34" s="228"/>
      <c r="MZF34" s="228"/>
      <c r="MZG34" s="228"/>
      <c r="MZH34" s="228"/>
      <c r="MZI34" s="228"/>
      <c r="MZJ34" s="228"/>
      <c r="MZK34" s="228"/>
      <c r="MZL34" s="228"/>
      <c r="MZM34" s="228"/>
      <c r="MZN34" s="228"/>
      <c r="MZO34" s="228"/>
      <c r="MZP34" s="228"/>
      <c r="MZQ34" s="228"/>
      <c r="MZR34" s="228"/>
      <c r="MZS34" s="228"/>
      <c r="MZT34" s="228"/>
      <c r="MZU34" s="228"/>
      <c r="MZV34" s="228"/>
      <c r="MZW34" s="228"/>
      <c r="MZX34" s="228"/>
      <c r="MZY34" s="228"/>
      <c r="MZZ34" s="228"/>
      <c r="NAA34" s="228"/>
      <c r="NAB34" s="228"/>
      <c r="NAC34" s="228"/>
      <c r="NAD34" s="228"/>
      <c r="NAE34" s="228"/>
      <c r="NAF34" s="228"/>
      <c r="NAG34" s="228"/>
      <c r="NAH34" s="228"/>
      <c r="NAI34" s="228"/>
      <c r="NAJ34" s="228"/>
      <c r="NAK34" s="228"/>
      <c r="NAL34" s="228"/>
      <c r="NAM34" s="228"/>
      <c r="NAN34" s="228"/>
      <c r="NAO34" s="228"/>
      <c r="NAP34" s="228"/>
      <c r="NAQ34" s="228"/>
      <c r="NAR34" s="228"/>
      <c r="NAS34" s="228"/>
      <c r="NAT34" s="228"/>
      <c r="NAU34" s="228"/>
      <c r="NAV34" s="228"/>
      <c r="NAW34" s="228"/>
      <c r="NAX34" s="228"/>
      <c r="NAY34" s="228"/>
      <c r="NAZ34" s="228"/>
      <c r="NBA34" s="228"/>
      <c r="NBB34" s="228"/>
      <c r="NBC34" s="228"/>
      <c r="NBD34" s="228"/>
      <c r="NBE34" s="228"/>
      <c r="NBF34" s="228"/>
      <c r="NBG34" s="228"/>
      <c r="NBH34" s="228"/>
      <c r="NBI34" s="228"/>
      <c r="NBJ34" s="228"/>
      <c r="NBK34" s="228"/>
      <c r="NBL34" s="228"/>
      <c r="NBM34" s="228"/>
      <c r="NBN34" s="228"/>
      <c r="NBO34" s="228"/>
      <c r="NBP34" s="228"/>
      <c r="NBQ34" s="228"/>
      <c r="NBR34" s="228"/>
      <c r="NBS34" s="228"/>
      <c r="NBT34" s="228"/>
      <c r="NBU34" s="228"/>
      <c r="NBV34" s="228"/>
      <c r="NBW34" s="228"/>
      <c r="NBX34" s="228"/>
      <c r="NBY34" s="228"/>
      <c r="NBZ34" s="228"/>
      <c r="NCA34" s="228"/>
      <c r="NCB34" s="228"/>
      <c r="NCC34" s="228"/>
      <c r="NCD34" s="228"/>
      <c r="NCE34" s="228"/>
      <c r="NCF34" s="228"/>
      <c r="NCG34" s="228"/>
      <c r="NCH34" s="228"/>
      <c r="NCI34" s="228"/>
      <c r="NCJ34" s="228"/>
      <c r="NCK34" s="228"/>
      <c r="NCL34" s="228"/>
      <c r="NCM34" s="228"/>
      <c r="NCN34" s="228"/>
      <c r="NCO34" s="228"/>
      <c r="NCP34" s="228"/>
      <c r="NCQ34" s="228"/>
      <c r="NCR34" s="228"/>
      <c r="NCS34" s="228"/>
      <c r="NCT34" s="228"/>
      <c r="NCU34" s="228"/>
      <c r="NCV34" s="228"/>
      <c r="NCW34" s="228"/>
      <c r="NCX34" s="228"/>
      <c r="NCY34" s="228"/>
      <c r="NCZ34" s="228"/>
      <c r="NDA34" s="228"/>
      <c r="NDB34" s="228"/>
      <c r="NDC34" s="228"/>
      <c r="NDD34" s="228"/>
      <c r="NDE34" s="228"/>
      <c r="NDF34" s="228"/>
      <c r="NDG34" s="228"/>
      <c r="NDH34" s="228"/>
      <c r="NDI34" s="228"/>
      <c r="NDJ34" s="228"/>
      <c r="NDK34" s="228"/>
      <c r="NDL34" s="228"/>
      <c r="NDM34" s="228"/>
      <c r="NDN34" s="228"/>
      <c r="NDO34" s="228"/>
      <c r="NDP34" s="228"/>
      <c r="NDQ34" s="228"/>
      <c r="NDR34" s="228"/>
      <c r="NDS34" s="228"/>
      <c r="NDT34" s="228"/>
      <c r="NDU34" s="228"/>
      <c r="NDV34" s="228"/>
      <c r="NDW34" s="228"/>
      <c r="NDX34" s="228"/>
      <c r="NDY34" s="228"/>
      <c r="NDZ34" s="228"/>
      <c r="NEA34" s="228"/>
      <c r="NEB34" s="228"/>
      <c r="NEC34" s="228"/>
      <c r="NED34" s="228"/>
      <c r="NEE34" s="228"/>
      <c r="NEF34" s="228"/>
      <c r="NEG34" s="228"/>
      <c r="NEH34" s="228"/>
      <c r="NEI34" s="228"/>
      <c r="NEJ34" s="228"/>
      <c r="NEK34" s="228"/>
      <c r="NEL34" s="228"/>
      <c r="NEM34" s="228"/>
      <c r="NEN34" s="228"/>
      <c r="NEO34" s="228"/>
      <c r="NEP34" s="228"/>
      <c r="NEQ34" s="228"/>
      <c r="NER34" s="228"/>
      <c r="NES34" s="228"/>
      <c r="NET34" s="228"/>
      <c r="NEU34" s="228"/>
      <c r="NEV34" s="228"/>
      <c r="NEW34" s="228"/>
      <c r="NEX34" s="228"/>
      <c r="NEY34" s="228"/>
      <c r="NEZ34" s="228"/>
      <c r="NFA34" s="228"/>
      <c r="NFB34" s="228"/>
      <c r="NFC34" s="228"/>
      <c r="NFD34" s="228"/>
      <c r="NFE34" s="228"/>
      <c r="NFF34" s="228"/>
      <c r="NFG34" s="228"/>
      <c r="NFH34" s="228"/>
      <c r="NFI34" s="228"/>
      <c r="NFJ34" s="228"/>
      <c r="NFK34" s="228"/>
      <c r="NFL34" s="228"/>
      <c r="NFM34" s="228"/>
      <c r="NFN34" s="228"/>
      <c r="NFO34" s="228"/>
      <c r="NFP34" s="228"/>
      <c r="NFQ34" s="228"/>
      <c r="NFR34" s="228"/>
      <c r="NFS34" s="228"/>
      <c r="NFT34" s="228"/>
      <c r="NFU34" s="228"/>
      <c r="NFV34" s="228"/>
      <c r="NFW34" s="228"/>
      <c r="NFX34" s="228"/>
      <c r="NFY34" s="228"/>
      <c r="NFZ34" s="228"/>
      <c r="NGA34" s="228"/>
      <c r="NGB34" s="228"/>
      <c r="NGC34" s="228"/>
      <c r="NGD34" s="228"/>
      <c r="NGE34" s="228"/>
      <c r="NGF34" s="228"/>
      <c r="NGG34" s="228"/>
      <c r="NGH34" s="228"/>
      <c r="NGI34" s="228"/>
      <c r="NGJ34" s="228"/>
      <c r="NGK34" s="228"/>
      <c r="NGL34" s="228"/>
      <c r="NGM34" s="228"/>
      <c r="NGN34" s="228"/>
      <c r="NGO34" s="228"/>
      <c r="NGP34" s="228"/>
      <c r="NGQ34" s="228"/>
      <c r="NGR34" s="228"/>
      <c r="NGS34" s="228"/>
      <c r="NGT34" s="228"/>
      <c r="NGU34" s="228"/>
      <c r="NGV34" s="228"/>
      <c r="NGW34" s="228"/>
      <c r="NGX34" s="228"/>
      <c r="NGY34" s="228"/>
      <c r="NGZ34" s="228"/>
      <c r="NHA34" s="228"/>
      <c r="NHB34" s="228"/>
      <c r="NHC34" s="228"/>
      <c r="NHD34" s="228"/>
      <c r="NHE34" s="228"/>
      <c r="NHF34" s="228"/>
      <c r="NHG34" s="228"/>
      <c r="NHH34" s="228"/>
      <c r="NHI34" s="228"/>
      <c r="NHJ34" s="228"/>
      <c r="NHK34" s="228"/>
      <c r="NHL34" s="228"/>
      <c r="NHM34" s="228"/>
      <c r="NHN34" s="228"/>
      <c r="NHO34" s="228"/>
      <c r="NHP34" s="228"/>
      <c r="NHQ34" s="228"/>
      <c r="NHR34" s="228"/>
      <c r="NHS34" s="228"/>
      <c r="NHT34" s="228"/>
      <c r="NHU34" s="228"/>
      <c r="NHV34" s="228"/>
      <c r="NHW34" s="228"/>
      <c r="NHX34" s="228"/>
      <c r="NHY34" s="228"/>
      <c r="NHZ34" s="228"/>
      <c r="NIA34" s="228"/>
      <c r="NIB34" s="228"/>
      <c r="NIC34" s="228"/>
      <c r="NID34" s="228"/>
      <c r="NIE34" s="228"/>
      <c r="NIF34" s="228"/>
      <c r="NIG34" s="228"/>
      <c r="NIH34" s="228"/>
      <c r="NII34" s="228"/>
      <c r="NIJ34" s="228"/>
      <c r="NIK34" s="228"/>
      <c r="NIL34" s="228"/>
      <c r="NIM34" s="228"/>
      <c r="NIN34" s="228"/>
      <c r="NIO34" s="228"/>
      <c r="NIP34" s="228"/>
      <c r="NIQ34" s="228"/>
      <c r="NIR34" s="228"/>
      <c r="NIS34" s="228"/>
      <c r="NIT34" s="228"/>
      <c r="NIU34" s="228"/>
      <c r="NIV34" s="228"/>
      <c r="NIW34" s="228"/>
      <c r="NIX34" s="228"/>
      <c r="NIY34" s="228"/>
      <c r="NIZ34" s="228"/>
      <c r="NJA34" s="228"/>
      <c r="NJB34" s="228"/>
      <c r="NJC34" s="228"/>
      <c r="NJD34" s="228"/>
      <c r="NJE34" s="228"/>
      <c r="NJF34" s="228"/>
      <c r="NJG34" s="228"/>
      <c r="NJH34" s="228"/>
      <c r="NJI34" s="228"/>
      <c r="NJJ34" s="228"/>
      <c r="NJK34" s="228"/>
      <c r="NJL34" s="228"/>
      <c r="NJM34" s="228"/>
      <c r="NJN34" s="228"/>
      <c r="NJO34" s="228"/>
      <c r="NJP34" s="228"/>
      <c r="NJQ34" s="228"/>
      <c r="NJR34" s="228"/>
      <c r="NJS34" s="228"/>
      <c r="NJT34" s="228"/>
      <c r="NJU34" s="228"/>
      <c r="NJV34" s="228"/>
      <c r="NJW34" s="228"/>
      <c r="NJX34" s="228"/>
      <c r="NJY34" s="228"/>
      <c r="NJZ34" s="228"/>
      <c r="NKA34" s="228"/>
      <c r="NKB34" s="228"/>
      <c r="NKC34" s="228"/>
      <c r="NKD34" s="228"/>
      <c r="NKE34" s="228"/>
      <c r="NKF34" s="228"/>
      <c r="NKG34" s="228"/>
      <c r="NKH34" s="228"/>
      <c r="NKI34" s="228"/>
      <c r="NKJ34" s="228"/>
      <c r="NKK34" s="228"/>
      <c r="NKL34" s="228"/>
      <c r="NKM34" s="228"/>
      <c r="NKN34" s="228"/>
      <c r="NKO34" s="228"/>
      <c r="NKP34" s="228"/>
      <c r="NKQ34" s="228"/>
      <c r="NKR34" s="228"/>
      <c r="NKS34" s="228"/>
      <c r="NKT34" s="228"/>
      <c r="NKU34" s="228"/>
      <c r="NKV34" s="228"/>
      <c r="NKW34" s="228"/>
      <c r="NKX34" s="228"/>
      <c r="NKY34" s="228"/>
      <c r="NKZ34" s="228"/>
      <c r="NLA34" s="228"/>
      <c r="NLB34" s="228"/>
      <c r="NLC34" s="228"/>
      <c r="NLD34" s="228"/>
      <c r="NLE34" s="228"/>
      <c r="NLF34" s="228"/>
      <c r="NLG34" s="228"/>
      <c r="NLH34" s="228"/>
      <c r="NLI34" s="228"/>
      <c r="NLJ34" s="228"/>
      <c r="NLK34" s="228"/>
      <c r="NLL34" s="228"/>
      <c r="NLM34" s="228"/>
      <c r="NLN34" s="228"/>
      <c r="NLO34" s="228"/>
      <c r="NLP34" s="228"/>
      <c r="NLQ34" s="228"/>
      <c r="NLR34" s="228"/>
      <c r="NLS34" s="228"/>
      <c r="NLT34" s="228"/>
      <c r="NLU34" s="228"/>
      <c r="NLV34" s="228"/>
      <c r="NLW34" s="228"/>
      <c r="NLX34" s="228"/>
      <c r="NLY34" s="228"/>
      <c r="NLZ34" s="228"/>
      <c r="NMA34" s="228"/>
      <c r="NMB34" s="228"/>
      <c r="NMC34" s="228"/>
      <c r="NMD34" s="228"/>
      <c r="NME34" s="228"/>
      <c r="NMF34" s="228"/>
      <c r="NMG34" s="228"/>
      <c r="NMH34" s="228"/>
      <c r="NMI34" s="228"/>
      <c r="NMJ34" s="228"/>
      <c r="NMK34" s="228"/>
      <c r="NML34" s="228"/>
      <c r="NMM34" s="228"/>
      <c r="NMN34" s="228"/>
      <c r="NMO34" s="228"/>
      <c r="NMP34" s="228"/>
      <c r="NMQ34" s="228"/>
      <c r="NMR34" s="228"/>
      <c r="NMS34" s="228"/>
      <c r="NMT34" s="228"/>
      <c r="NMU34" s="228"/>
      <c r="NMV34" s="228"/>
      <c r="NMW34" s="228"/>
      <c r="NMX34" s="228"/>
      <c r="NMY34" s="228"/>
      <c r="NMZ34" s="228"/>
      <c r="NNA34" s="228"/>
      <c r="NNB34" s="228"/>
      <c r="NNC34" s="228"/>
      <c r="NND34" s="228"/>
      <c r="NNE34" s="228"/>
      <c r="NNF34" s="228"/>
      <c r="NNG34" s="228"/>
      <c r="NNH34" s="228"/>
      <c r="NNI34" s="228"/>
      <c r="NNJ34" s="228"/>
      <c r="NNK34" s="228"/>
      <c r="NNL34" s="228"/>
      <c r="NNM34" s="228"/>
      <c r="NNN34" s="228"/>
      <c r="NNO34" s="228"/>
      <c r="NNP34" s="228"/>
      <c r="NNQ34" s="228"/>
      <c r="NNR34" s="228"/>
      <c r="NNS34" s="228"/>
      <c r="NNT34" s="228"/>
      <c r="NNU34" s="228"/>
      <c r="NNV34" s="228"/>
      <c r="NNW34" s="228"/>
      <c r="NNX34" s="228"/>
      <c r="NNY34" s="228"/>
      <c r="NNZ34" s="228"/>
      <c r="NOA34" s="228"/>
      <c r="NOB34" s="228"/>
      <c r="NOC34" s="228"/>
      <c r="NOD34" s="228"/>
      <c r="NOE34" s="228"/>
      <c r="NOF34" s="228"/>
      <c r="NOG34" s="228"/>
      <c r="NOH34" s="228"/>
      <c r="NOI34" s="228"/>
      <c r="NOJ34" s="228"/>
      <c r="NOK34" s="228"/>
      <c r="NOL34" s="228"/>
      <c r="NOM34" s="228"/>
      <c r="NON34" s="228"/>
      <c r="NOO34" s="228"/>
      <c r="NOP34" s="228"/>
      <c r="NOQ34" s="228"/>
      <c r="NOR34" s="228"/>
      <c r="NOS34" s="228"/>
      <c r="NOT34" s="228"/>
      <c r="NOU34" s="228"/>
      <c r="NOV34" s="228"/>
      <c r="NOW34" s="228"/>
      <c r="NOX34" s="228"/>
      <c r="NOY34" s="228"/>
      <c r="NOZ34" s="228"/>
      <c r="NPA34" s="228"/>
      <c r="NPB34" s="228"/>
      <c r="NPC34" s="228"/>
      <c r="NPD34" s="228"/>
      <c r="NPE34" s="228"/>
      <c r="NPF34" s="228"/>
      <c r="NPG34" s="228"/>
      <c r="NPH34" s="228"/>
      <c r="NPI34" s="228"/>
      <c r="NPJ34" s="228"/>
      <c r="NPK34" s="228"/>
      <c r="NPL34" s="228"/>
      <c r="NPM34" s="228"/>
      <c r="NPN34" s="228"/>
      <c r="NPO34" s="228"/>
      <c r="NPP34" s="228"/>
      <c r="NPQ34" s="228"/>
      <c r="NPR34" s="228"/>
      <c r="NPS34" s="228"/>
      <c r="NPT34" s="228"/>
      <c r="NPU34" s="228"/>
      <c r="NPV34" s="228"/>
      <c r="NPW34" s="228"/>
      <c r="NPX34" s="228"/>
      <c r="NPY34" s="228"/>
      <c r="NPZ34" s="228"/>
      <c r="NQA34" s="228"/>
      <c r="NQB34" s="228"/>
      <c r="NQC34" s="228"/>
      <c r="NQD34" s="228"/>
      <c r="NQE34" s="228"/>
      <c r="NQF34" s="228"/>
      <c r="NQG34" s="228"/>
      <c r="NQH34" s="228"/>
      <c r="NQI34" s="228"/>
      <c r="NQJ34" s="228"/>
      <c r="NQK34" s="228"/>
      <c r="NQL34" s="228"/>
      <c r="NQM34" s="228"/>
      <c r="NQN34" s="228"/>
      <c r="NQO34" s="228"/>
      <c r="NQP34" s="228"/>
      <c r="NQQ34" s="228"/>
      <c r="NQR34" s="228"/>
      <c r="NQS34" s="228"/>
      <c r="NQT34" s="228"/>
      <c r="NQU34" s="228"/>
      <c r="NQV34" s="228"/>
      <c r="NQW34" s="228"/>
      <c r="NQX34" s="228"/>
      <c r="NQY34" s="228"/>
      <c r="NQZ34" s="228"/>
      <c r="NRA34" s="228"/>
      <c r="NRB34" s="228"/>
      <c r="NRC34" s="228"/>
      <c r="NRD34" s="228"/>
      <c r="NRE34" s="228"/>
      <c r="NRF34" s="228"/>
      <c r="NRG34" s="228"/>
      <c r="NRH34" s="228"/>
      <c r="NRI34" s="228"/>
      <c r="NRJ34" s="228"/>
      <c r="NRK34" s="228"/>
      <c r="NRL34" s="228"/>
      <c r="NRM34" s="228"/>
      <c r="NRN34" s="228"/>
      <c r="NRO34" s="228"/>
      <c r="NRP34" s="228"/>
      <c r="NRQ34" s="228"/>
      <c r="NRR34" s="228"/>
      <c r="NRS34" s="228"/>
      <c r="NRT34" s="228"/>
      <c r="NRU34" s="228"/>
      <c r="NRV34" s="228"/>
      <c r="NRW34" s="228"/>
      <c r="NRX34" s="228"/>
      <c r="NRY34" s="228"/>
      <c r="NRZ34" s="228"/>
      <c r="NSA34" s="228"/>
      <c r="NSB34" s="228"/>
      <c r="NSC34" s="228"/>
      <c r="NSD34" s="228"/>
      <c r="NSE34" s="228"/>
      <c r="NSF34" s="228"/>
      <c r="NSG34" s="228"/>
      <c r="NSH34" s="228"/>
      <c r="NSI34" s="228"/>
      <c r="NSJ34" s="228"/>
      <c r="NSK34" s="228"/>
      <c r="NSL34" s="228"/>
      <c r="NSM34" s="228"/>
      <c r="NSN34" s="228"/>
      <c r="NSO34" s="228"/>
      <c r="NSP34" s="228"/>
      <c r="NSQ34" s="228"/>
      <c r="NSR34" s="228"/>
      <c r="NSS34" s="228"/>
      <c r="NST34" s="228"/>
      <c r="NSU34" s="228"/>
      <c r="NSV34" s="228"/>
      <c r="NSW34" s="228"/>
      <c r="NSX34" s="228"/>
      <c r="NSY34" s="228"/>
      <c r="NSZ34" s="228"/>
      <c r="NTA34" s="228"/>
      <c r="NTB34" s="228"/>
      <c r="NTC34" s="228"/>
      <c r="NTD34" s="228"/>
      <c r="NTE34" s="228"/>
      <c r="NTF34" s="228"/>
      <c r="NTG34" s="228"/>
      <c r="NTH34" s="228"/>
      <c r="NTI34" s="228"/>
      <c r="NTJ34" s="228"/>
      <c r="NTK34" s="228"/>
      <c r="NTL34" s="228"/>
      <c r="NTM34" s="228"/>
      <c r="NTN34" s="228"/>
      <c r="NTO34" s="228"/>
      <c r="NTP34" s="228"/>
      <c r="NTQ34" s="228"/>
      <c r="NTR34" s="228"/>
      <c r="NTS34" s="228"/>
      <c r="NTT34" s="228"/>
      <c r="NTU34" s="228"/>
      <c r="NTV34" s="228"/>
      <c r="NTW34" s="228"/>
      <c r="NTX34" s="228"/>
      <c r="NTY34" s="228"/>
      <c r="NTZ34" s="228"/>
      <c r="NUA34" s="228"/>
      <c r="NUB34" s="228"/>
      <c r="NUC34" s="228"/>
      <c r="NUD34" s="228"/>
      <c r="NUE34" s="228"/>
      <c r="NUF34" s="228"/>
      <c r="NUG34" s="228"/>
      <c r="NUH34" s="228"/>
      <c r="NUI34" s="228"/>
      <c r="NUJ34" s="228"/>
      <c r="NUK34" s="228"/>
      <c r="NUL34" s="228"/>
      <c r="NUM34" s="228"/>
      <c r="NUN34" s="228"/>
      <c r="NUO34" s="228"/>
      <c r="NUP34" s="228"/>
      <c r="NUQ34" s="228"/>
      <c r="NUR34" s="228"/>
      <c r="NUS34" s="228"/>
      <c r="NUT34" s="228"/>
      <c r="NUU34" s="228"/>
      <c r="NUV34" s="228"/>
      <c r="NUW34" s="228"/>
      <c r="NUX34" s="228"/>
      <c r="NUY34" s="228"/>
      <c r="NUZ34" s="228"/>
      <c r="NVA34" s="228"/>
      <c r="NVB34" s="228"/>
      <c r="NVC34" s="228"/>
      <c r="NVD34" s="228"/>
      <c r="NVE34" s="228"/>
      <c r="NVF34" s="228"/>
      <c r="NVG34" s="228"/>
      <c r="NVH34" s="228"/>
      <c r="NVI34" s="228"/>
      <c r="NVJ34" s="228"/>
      <c r="NVK34" s="228"/>
      <c r="NVL34" s="228"/>
      <c r="NVM34" s="228"/>
      <c r="NVN34" s="228"/>
      <c r="NVO34" s="228"/>
      <c r="NVP34" s="228"/>
      <c r="NVQ34" s="228"/>
      <c r="NVR34" s="228"/>
      <c r="NVS34" s="228"/>
      <c r="NVT34" s="228"/>
      <c r="NVU34" s="228"/>
      <c r="NVV34" s="228"/>
      <c r="NVW34" s="228"/>
      <c r="NVX34" s="228"/>
      <c r="NVY34" s="228"/>
      <c r="NVZ34" s="228"/>
      <c r="NWA34" s="228"/>
      <c r="NWB34" s="228"/>
      <c r="NWC34" s="228"/>
      <c r="NWD34" s="228"/>
      <c r="NWE34" s="228"/>
      <c r="NWF34" s="228"/>
      <c r="NWG34" s="228"/>
      <c r="NWH34" s="228"/>
      <c r="NWI34" s="228"/>
      <c r="NWJ34" s="228"/>
      <c r="NWK34" s="228"/>
      <c r="NWL34" s="228"/>
      <c r="NWM34" s="228"/>
      <c r="NWN34" s="228"/>
      <c r="NWO34" s="228"/>
      <c r="NWP34" s="228"/>
      <c r="NWQ34" s="228"/>
      <c r="NWR34" s="228"/>
      <c r="NWS34" s="228"/>
      <c r="NWT34" s="228"/>
      <c r="NWU34" s="228"/>
      <c r="NWV34" s="228"/>
      <c r="NWW34" s="228"/>
      <c r="NWX34" s="228"/>
      <c r="NWY34" s="228"/>
      <c r="NWZ34" s="228"/>
      <c r="NXA34" s="228"/>
      <c r="NXB34" s="228"/>
      <c r="NXC34" s="228"/>
      <c r="NXD34" s="228"/>
      <c r="NXE34" s="228"/>
      <c r="NXF34" s="228"/>
      <c r="NXG34" s="228"/>
      <c r="NXH34" s="228"/>
      <c r="NXI34" s="228"/>
      <c r="NXJ34" s="228"/>
      <c r="NXK34" s="228"/>
      <c r="NXL34" s="228"/>
      <c r="NXM34" s="228"/>
      <c r="NXN34" s="228"/>
      <c r="NXO34" s="228"/>
      <c r="NXP34" s="228"/>
      <c r="NXQ34" s="228"/>
      <c r="NXR34" s="228"/>
      <c r="NXS34" s="228"/>
      <c r="NXT34" s="228"/>
      <c r="NXU34" s="228"/>
      <c r="NXV34" s="228"/>
      <c r="NXW34" s="228"/>
      <c r="NXX34" s="228"/>
      <c r="NXY34" s="228"/>
      <c r="NXZ34" s="228"/>
      <c r="NYA34" s="228"/>
      <c r="NYB34" s="228"/>
      <c r="NYC34" s="228"/>
      <c r="NYD34" s="228"/>
      <c r="NYE34" s="228"/>
      <c r="NYF34" s="228"/>
      <c r="NYG34" s="228"/>
      <c r="NYH34" s="228"/>
      <c r="NYI34" s="228"/>
      <c r="NYJ34" s="228"/>
      <c r="NYK34" s="228"/>
      <c r="NYL34" s="228"/>
      <c r="NYM34" s="228"/>
      <c r="NYN34" s="228"/>
      <c r="NYO34" s="228"/>
      <c r="NYP34" s="228"/>
      <c r="NYQ34" s="228"/>
      <c r="NYR34" s="228"/>
      <c r="NYS34" s="228"/>
      <c r="NYT34" s="228"/>
      <c r="NYU34" s="228"/>
      <c r="NYV34" s="228"/>
      <c r="NYW34" s="228"/>
      <c r="NYX34" s="228"/>
      <c r="NYY34" s="228"/>
      <c r="NYZ34" s="228"/>
      <c r="NZA34" s="228"/>
      <c r="NZB34" s="228"/>
      <c r="NZC34" s="228"/>
      <c r="NZD34" s="228"/>
      <c r="NZE34" s="228"/>
      <c r="NZF34" s="228"/>
      <c r="NZG34" s="228"/>
      <c r="NZH34" s="228"/>
      <c r="NZI34" s="228"/>
      <c r="NZJ34" s="228"/>
      <c r="NZK34" s="228"/>
      <c r="NZL34" s="228"/>
      <c r="NZM34" s="228"/>
      <c r="NZN34" s="228"/>
      <c r="NZO34" s="228"/>
      <c r="NZP34" s="228"/>
      <c r="NZQ34" s="228"/>
      <c r="NZR34" s="228"/>
      <c r="NZS34" s="228"/>
      <c r="NZT34" s="228"/>
      <c r="NZU34" s="228"/>
      <c r="NZV34" s="228"/>
      <c r="NZW34" s="228"/>
      <c r="NZX34" s="228"/>
      <c r="NZY34" s="228"/>
      <c r="NZZ34" s="228"/>
      <c r="OAA34" s="228"/>
      <c r="OAB34" s="228"/>
      <c r="OAC34" s="228"/>
      <c r="OAD34" s="228"/>
      <c r="OAE34" s="228"/>
      <c r="OAF34" s="228"/>
      <c r="OAG34" s="228"/>
      <c r="OAH34" s="228"/>
      <c r="OAI34" s="228"/>
      <c r="OAJ34" s="228"/>
      <c r="OAK34" s="228"/>
      <c r="OAL34" s="228"/>
      <c r="OAM34" s="228"/>
      <c r="OAN34" s="228"/>
      <c r="OAO34" s="228"/>
      <c r="OAP34" s="228"/>
      <c r="OAQ34" s="228"/>
      <c r="OAR34" s="228"/>
      <c r="OAS34" s="228"/>
      <c r="OAT34" s="228"/>
      <c r="OAU34" s="228"/>
      <c r="OAV34" s="228"/>
      <c r="OAW34" s="228"/>
      <c r="OAX34" s="228"/>
      <c r="OAY34" s="228"/>
      <c r="OAZ34" s="228"/>
      <c r="OBA34" s="228"/>
      <c r="OBB34" s="228"/>
      <c r="OBC34" s="228"/>
      <c r="OBD34" s="228"/>
      <c r="OBE34" s="228"/>
      <c r="OBF34" s="228"/>
      <c r="OBG34" s="228"/>
      <c r="OBH34" s="228"/>
      <c r="OBI34" s="228"/>
      <c r="OBJ34" s="228"/>
      <c r="OBK34" s="228"/>
      <c r="OBL34" s="228"/>
      <c r="OBM34" s="228"/>
      <c r="OBN34" s="228"/>
      <c r="OBO34" s="228"/>
      <c r="OBP34" s="228"/>
      <c r="OBQ34" s="228"/>
      <c r="OBR34" s="228"/>
      <c r="OBS34" s="228"/>
      <c r="OBT34" s="228"/>
      <c r="OBU34" s="228"/>
      <c r="OBV34" s="228"/>
      <c r="OBW34" s="228"/>
      <c r="OBX34" s="228"/>
      <c r="OBY34" s="228"/>
      <c r="OBZ34" s="228"/>
      <c r="OCA34" s="228"/>
      <c r="OCB34" s="228"/>
      <c r="OCC34" s="228"/>
      <c r="OCD34" s="228"/>
      <c r="OCE34" s="228"/>
      <c r="OCF34" s="228"/>
      <c r="OCG34" s="228"/>
      <c r="OCH34" s="228"/>
      <c r="OCI34" s="228"/>
      <c r="OCJ34" s="228"/>
      <c r="OCK34" s="228"/>
      <c r="OCL34" s="228"/>
      <c r="OCM34" s="228"/>
      <c r="OCN34" s="228"/>
      <c r="OCO34" s="228"/>
      <c r="OCP34" s="228"/>
      <c r="OCQ34" s="228"/>
      <c r="OCR34" s="228"/>
      <c r="OCS34" s="228"/>
      <c r="OCT34" s="228"/>
      <c r="OCU34" s="228"/>
      <c r="OCV34" s="228"/>
      <c r="OCW34" s="228"/>
      <c r="OCX34" s="228"/>
      <c r="OCY34" s="228"/>
      <c r="OCZ34" s="228"/>
      <c r="ODA34" s="228"/>
      <c r="ODB34" s="228"/>
      <c r="ODC34" s="228"/>
      <c r="ODD34" s="228"/>
      <c r="ODE34" s="228"/>
      <c r="ODF34" s="228"/>
      <c r="ODG34" s="228"/>
      <c r="ODH34" s="228"/>
      <c r="ODI34" s="228"/>
      <c r="ODJ34" s="228"/>
      <c r="ODK34" s="228"/>
      <c r="ODL34" s="228"/>
      <c r="ODM34" s="228"/>
      <c r="ODN34" s="228"/>
      <c r="ODO34" s="228"/>
      <c r="ODP34" s="228"/>
      <c r="ODQ34" s="228"/>
      <c r="ODR34" s="228"/>
      <c r="ODS34" s="228"/>
      <c r="ODT34" s="228"/>
      <c r="ODU34" s="228"/>
      <c r="ODV34" s="228"/>
      <c r="ODW34" s="228"/>
      <c r="ODX34" s="228"/>
      <c r="ODY34" s="228"/>
      <c r="ODZ34" s="228"/>
      <c r="OEA34" s="228"/>
      <c r="OEB34" s="228"/>
      <c r="OEC34" s="228"/>
      <c r="OED34" s="228"/>
      <c r="OEE34" s="228"/>
      <c r="OEF34" s="228"/>
      <c r="OEG34" s="228"/>
      <c r="OEH34" s="228"/>
      <c r="OEI34" s="228"/>
      <c r="OEJ34" s="228"/>
      <c r="OEK34" s="228"/>
      <c r="OEL34" s="228"/>
      <c r="OEM34" s="228"/>
      <c r="OEN34" s="228"/>
      <c r="OEO34" s="228"/>
      <c r="OEP34" s="228"/>
      <c r="OEQ34" s="228"/>
      <c r="OER34" s="228"/>
      <c r="OES34" s="228"/>
      <c r="OET34" s="228"/>
      <c r="OEU34" s="228"/>
      <c r="OEV34" s="228"/>
      <c r="OEW34" s="228"/>
      <c r="OEX34" s="228"/>
      <c r="OEY34" s="228"/>
      <c r="OEZ34" s="228"/>
      <c r="OFA34" s="228"/>
      <c r="OFB34" s="228"/>
      <c r="OFC34" s="228"/>
      <c r="OFD34" s="228"/>
      <c r="OFE34" s="228"/>
      <c r="OFF34" s="228"/>
      <c r="OFG34" s="228"/>
      <c r="OFH34" s="228"/>
      <c r="OFI34" s="228"/>
      <c r="OFJ34" s="228"/>
      <c r="OFK34" s="228"/>
      <c r="OFL34" s="228"/>
      <c r="OFM34" s="228"/>
      <c r="OFN34" s="228"/>
      <c r="OFO34" s="228"/>
      <c r="OFP34" s="228"/>
      <c r="OFQ34" s="228"/>
      <c r="OFR34" s="228"/>
      <c r="OFS34" s="228"/>
      <c r="OFT34" s="228"/>
      <c r="OFU34" s="228"/>
      <c r="OFV34" s="228"/>
      <c r="OFW34" s="228"/>
      <c r="OFX34" s="228"/>
      <c r="OFY34" s="228"/>
      <c r="OFZ34" s="228"/>
      <c r="OGA34" s="228"/>
      <c r="OGB34" s="228"/>
      <c r="OGC34" s="228"/>
      <c r="OGD34" s="228"/>
      <c r="OGE34" s="228"/>
      <c r="OGF34" s="228"/>
      <c r="OGG34" s="228"/>
      <c r="OGH34" s="228"/>
      <c r="OGI34" s="228"/>
      <c r="OGJ34" s="228"/>
      <c r="OGK34" s="228"/>
      <c r="OGL34" s="228"/>
      <c r="OGM34" s="228"/>
      <c r="OGN34" s="228"/>
      <c r="OGO34" s="228"/>
      <c r="OGP34" s="228"/>
      <c r="OGQ34" s="228"/>
      <c r="OGR34" s="228"/>
      <c r="OGS34" s="228"/>
      <c r="OGT34" s="228"/>
      <c r="OGU34" s="228"/>
      <c r="OGV34" s="228"/>
      <c r="OGW34" s="228"/>
      <c r="OGX34" s="228"/>
      <c r="OGY34" s="228"/>
      <c r="OGZ34" s="228"/>
      <c r="OHA34" s="228"/>
      <c r="OHB34" s="228"/>
      <c r="OHC34" s="228"/>
      <c r="OHD34" s="228"/>
      <c r="OHE34" s="228"/>
      <c r="OHF34" s="228"/>
      <c r="OHG34" s="228"/>
      <c r="OHH34" s="228"/>
      <c r="OHI34" s="228"/>
      <c r="OHJ34" s="228"/>
      <c r="OHK34" s="228"/>
      <c r="OHL34" s="228"/>
      <c r="OHM34" s="228"/>
      <c r="OHN34" s="228"/>
      <c r="OHO34" s="228"/>
      <c r="OHP34" s="228"/>
      <c r="OHQ34" s="228"/>
      <c r="OHR34" s="228"/>
      <c r="OHS34" s="228"/>
      <c r="OHT34" s="228"/>
      <c r="OHU34" s="228"/>
      <c r="OHV34" s="228"/>
      <c r="OHW34" s="228"/>
      <c r="OHX34" s="228"/>
      <c r="OHY34" s="228"/>
      <c r="OHZ34" s="228"/>
      <c r="OIA34" s="228"/>
      <c r="OIB34" s="228"/>
      <c r="OIC34" s="228"/>
      <c r="OID34" s="228"/>
      <c r="OIE34" s="228"/>
      <c r="OIF34" s="228"/>
      <c r="OIG34" s="228"/>
      <c r="OIH34" s="228"/>
      <c r="OII34" s="228"/>
      <c r="OIJ34" s="228"/>
      <c r="OIK34" s="228"/>
      <c r="OIL34" s="228"/>
      <c r="OIM34" s="228"/>
      <c r="OIN34" s="228"/>
      <c r="OIO34" s="228"/>
      <c r="OIP34" s="228"/>
      <c r="OIQ34" s="228"/>
      <c r="OIR34" s="228"/>
      <c r="OIS34" s="228"/>
      <c r="OIT34" s="228"/>
      <c r="OIU34" s="228"/>
      <c r="OIV34" s="228"/>
      <c r="OIW34" s="228"/>
      <c r="OIX34" s="228"/>
      <c r="OIY34" s="228"/>
      <c r="OIZ34" s="228"/>
      <c r="OJA34" s="228"/>
      <c r="OJB34" s="228"/>
      <c r="OJC34" s="228"/>
      <c r="OJD34" s="228"/>
      <c r="OJE34" s="228"/>
      <c r="OJF34" s="228"/>
      <c r="OJG34" s="228"/>
      <c r="OJH34" s="228"/>
      <c r="OJI34" s="228"/>
      <c r="OJJ34" s="228"/>
      <c r="OJK34" s="228"/>
      <c r="OJL34" s="228"/>
      <c r="OJM34" s="228"/>
      <c r="OJN34" s="228"/>
      <c r="OJO34" s="228"/>
      <c r="OJP34" s="228"/>
      <c r="OJQ34" s="228"/>
      <c r="OJR34" s="228"/>
      <c r="OJS34" s="228"/>
      <c r="OJT34" s="228"/>
      <c r="OJU34" s="228"/>
      <c r="OJV34" s="228"/>
      <c r="OJW34" s="228"/>
      <c r="OJX34" s="228"/>
      <c r="OJY34" s="228"/>
      <c r="OJZ34" s="228"/>
      <c r="OKA34" s="228"/>
      <c r="OKB34" s="228"/>
      <c r="OKC34" s="228"/>
      <c r="OKD34" s="228"/>
      <c r="OKE34" s="228"/>
      <c r="OKF34" s="228"/>
      <c r="OKG34" s="228"/>
      <c r="OKH34" s="228"/>
      <c r="OKI34" s="228"/>
      <c r="OKJ34" s="228"/>
      <c r="OKK34" s="228"/>
      <c r="OKL34" s="228"/>
      <c r="OKM34" s="228"/>
      <c r="OKN34" s="228"/>
      <c r="OKO34" s="228"/>
      <c r="OKP34" s="228"/>
      <c r="OKQ34" s="228"/>
      <c r="OKR34" s="228"/>
      <c r="OKS34" s="228"/>
      <c r="OKT34" s="228"/>
      <c r="OKU34" s="228"/>
      <c r="OKV34" s="228"/>
      <c r="OKW34" s="228"/>
      <c r="OKX34" s="228"/>
      <c r="OKY34" s="228"/>
      <c r="OKZ34" s="228"/>
      <c r="OLA34" s="228"/>
      <c r="OLB34" s="228"/>
      <c r="OLC34" s="228"/>
      <c r="OLD34" s="228"/>
      <c r="OLE34" s="228"/>
      <c r="OLF34" s="228"/>
      <c r="OLG34" s="228"/>
      <c r="OLH34" s="228"/>
      <c r="OLI34" s="228"/>
      <c r="OLJ34" s="228"/>
      <c r="OLK34" s="228"/>
      <c r="OLL34" s="228"/>
      <c r="OLM34" s="228"/>
      <c r="OLN34" s="228"/>
      <c r="OLO34" s="228"/>
      <c r="OLP34" s="228"/>
      <c r="OLQ34" s="228"/>
      <c r="OLR34" s="228"/>
      <c r="OLS34" s="228"/>
      <c r="OLT34" s="228"/>
      <c r="OLU34" s="228"/>
      <c r="OLV34" s="228"/>
      <c r="OLW34" s="228"/>
      <c r="OLX34" s="228"/>
      <c r="OLY34" s="228"/>
      <c r="OLZ34" s="228"/>
      <c r="OMA34" s="228"/>
      <c r="OMB34" s="228"/>
      <c r="OMC34" s="228"/>
      <c r="OMD34" s="228"/>
      <c r="OME34" s="228"/>
      <c r="OMF34" s="228"/>
      <c r="OMG34" s="228"/>
      <c r="OMH34" s="228"/>
      <c r="OMI34" s="228"/>
      <c r="OMJ34" s="228"/>
      <c r="OMK34" s="228"/>
      <c r="OML34" s="228"/>
      <c r="OMM34" s="228"/>
      <c r="OMN34" s="228"/>
      <c r="OMO34" s="228"/>
      <c r="OMP34" s="228"/>
      <c r="OMQ34" s="228"/>
      <c r="OMR34" s="228"/>
      <c r="OMS34" s="228"/>
      <c r="OMT34" s="228"/>
      <c r="OMU34" s="228"/>
      <c r="OMV34" s="228"/>
      <c r="OMW34" s="228"/>
      <c r="OMX34" s="228"/>
      <c r="OMY34" s="228"/>
      <c r="OMZ34" s="228"/>
      <c r="ONA34" s="228"/>
      <c r="ONB34" s="228"/>
      <c r="ONC34" s="228"/>
      <c r="OND34" s="228"/>
      <c r="ONE34" s="228"/>
      <c r="ONF34" s="228"/>
      <c r="ONG34" s="228"/>
      <c r="ONH34" s="228"/>
      <c r="ONI34" s="228"/>
      <c r="ONJ34" s="228"/>
      <c r="ONK34" s="228"/>
      <c r="ONL34" s="228"/>
      <c r="ONM34" s="228"/>
      <c r="ONN34" s="228"/>
      <c r="ONO34" s="228"/>
      <c r="ONP34" s="228"/>
      <c r="ONQ34" s="228"/>
      <c r="ONR34" s="228"/>
      <c r="ONS34" s="228"/>
      <c r="ONT34" s="228"/>
      <c r="ONU34" s="228"/>
      <c r="ONV34" s="228"/>
      <c r="ONW34" s="228"/>
      <c r="ONX34" s="228"/>
      <c r="ONY34" s="228"/>
      <c r="ONZ34" s="228"/>
      <c r="OOA34" s="228"/>
      <c r="OOB34" s="228"/>
      <c r="OOC34" s="228"/>
      <c r="OOD34" s="228"/>
      <c r="OOE34" s="228"/>
      <c r="OOF34" s="228"/>
      <c r="OOG34" s="228"/>
      <c r="OOH34" s="228"/>
      <c r="OOI34" s="228"/>
      <c r="OOJ34" s="228"/>
      <c r="OOK34" s="228"/>
      <c r="OOL34" s="228"/>
      <c r="OOM34" s="228"/>
      <c r="OON34" s="228"/>
      <c r="OOO34" s="228"/>
      <c r="OOP34" s="228"/>
      <c r="OOQ34" s="228"/>
      <c r="OOR34" s="228"/>
      <c r="OOS34" s="228"/>
      <c r="OOT34" s="228"/>
      <c r="OOU34" s="228"/>
      <c r="OOV34" s="228"/>
      <c r="OOW34" s="228"/>
      <c r="OOX34" s="228"/>
      <c r="OOY34" s="228"/>
      <c r="OOZ34" s="228"/>
      <c r="OPA34" s="228"/>
      <c r="OPB34" s="228"/>
      <c r="OPC34" s="228"/>
      <c r="OPD34" s="228"/>
      <c r="OPE34" s="228"/>
      <c r="OPF34" s="228"/>
      <c r="OPG34" s="228"/>
      <c r="OPH34" s="228"/>
      <c r="OPI34" s="228"/>
      <c r="OPJ34" s="228"/>
      <c r="OPK34" s="228"/>
      <c r="OPL34" s="228"/>
      <c r="OPM34" s="228"/>
      <c r="OPN34" s="228"/>
      <c r="OPO34" s="228"/>
      <c r="OPP34" s="228"/>
      <c r="OPQ34" s="228"/>
      <c r="OPR34" s="228"/>
      <c r="OPS34" s="228"/>
      <c r="OPT34" s="228"/>
      <c r="OPU34" s="228"/>
      <c r="OPV34" s="228"/>
      <c r="OPW34" s="228"/>
      <c r="OPX34" s="228"/>
      <c r="OPY34" s="228"/>
      <c r="OPZ34" s="228"/>
      <c r="OQA34" s="228"/>
      <c r="OQB34" s="228"/>
      <c r="OQC34" s="228"/>
      <c r="OQD34" s="228"/>
      <c r="OQE34" s="228"/>
      <c r="OQF34" s="228"/>
      <c r="OQG34" s="228"/>
      <c r="OQH34" s="228"/>
      <c r="OQI34" s="228"/>
      <c r="OQJ34" s="228"/>
      <c r="OQK34" s="228"/>
      <c r="OQL34" s="228"/>
      <c r="OQM34" s="228"/>
      <c r="OQN34" s="228"/>
      <c r="OQO34" s="228"/>
      <c r="OQP34" s="228"/>
      <c r="OQQ34" s="228"/>
      <c r="OQR34" s="228"/>
      <c r="OQS34" s="228"/>
      <c r="OQT34" s="228"/>
      <c r="OQU34" s="228"/>
      <c r="OQV34" s="228"/>
      <c r="OQW34" s="228"/>
      <c r="OQX34" s="228"/>
      <c r="OQY34" s="228"/>
      <c r="OQZ34" s="228"/>
      <c r="ORA34" s="228"/>
      <c r="ORB34" s="228"/>
      <c r="ORC34" s="228"/>
      <c r="ORD34" s="228"/>
      <c r="ORE34" s="228"/>
      <c r="ORF34" s="228"/>
      <c r="ORG34" s="228"/>
      <c r="ORH34" s="228"/>
      <c r="ORI34" s="228"/>
      <c r="ORJ34" s="228"/>
      <c r="ORK34" s="228"/>
      <c r="ORL34" s="228"/>
      <c r="ORM34" s="228"/>
      <c r="ORN34" s="228"/>
      <c r="ORO34" s="228"/>
      <c r="ORP34" s="228"/>
      <c r="ORQ34" s="228"/>
      <c r="ORR34" s="228"/>
      <c r="ORS34" s="228"/>
      <c r="ORT34" s="228"/>
      <c r="ORU34" s="228"/>
      <c r="ORV34" s="228"/>
      <c r="ORW34" s="228"/>
      <c r="ORX34" s="228"/>
      <c r="ORY34" s="228"/>
      <c r="ORZ34" s="228"/>
      <c r="OSA34" s="228"/>
      <c r="OSB34" s="228"/>
      <c r="OSC34" s="228"/>
      <c r="OSD34" s="228"/>
      <c r="OSE34" s="228"/>
      <c r="OSF34" s="228"/>
      <c r="OSG34" s="228"/>
      <c r="OSH34" s="228"/>
      <c r="OSI34" s="228"/>
      <c r="OSJ34" s="228"/>
      <c r="OSK34" s="228"/>
      <c r="OSL34" s="228"/>
      <c r="OSM34" s="228"/>
      <c r="OSN34" s="228"/>
      <c r="OSO34" s="228"/>
      <c r="OSP34" s="228"/>
      <c r="OSQ34" s="228"/>
      <c r="OSR34" s="228"/>
      <c r="OSS34" s="228"/>
      <c r="OST34" s="228"/>
      <c r="OSU34" s="228"/>
      <c r="OSV34" s="228"/>
      <c r="OSW34" s="228"/>
      <c r="OSX34" s="228"/>
      <c r="OSY34" s="228"/>
      <c r="OSZ34" s="228"/>
      <c r="OTA34" s="228"/>
      <c r="OTB34" s="228"/>
      <c r="OTC34" s="228"/>
      <c r="OTD34" s="228"/>
      <c r="OTE34" s="228"/>
      <c r="OTF34" s="228"/>
      <c r="OTG34" s="228"/>
      <c r="OTH34" s="228"/>
      <c r="OTI34" s="228"/>
      <c r="OTJ34" s="228"/>
      <c r="OTK34" s="228"/>
      <c r="OTL34" s="228"/>
      <c r="OTM34" s="228"/>
      <c r="OTN34" s="228"/>
      <c r="OTO34" s="228"/>
      <c r="OTP34" s="228"/>
      <c r="OTQ34" s="228"/>
      <c r="OTR34" s="228"/>
      <c r="OTS34" s="228"/>
      <c r="OTT34" s="228"/>
      <c r="OTU34" s="228"/>
      <c r="OTV34" s="228"/>
      <c r="OTW34" s="228"/>
      <c r="OTX34" s="228"/>
      <c r="OTY34" s="228"/>
      <c r="OTZ34" s="228"/>
      <c r="OUA34" s="228"/>
      <c r="OUB34" s="228"/>
      <c r="OUC34" s="228"/>
      <c r="OUD34" s="228"/>
      <c r="OUE34" s="228"/>
      <c r="OUF34" s="228"/>
      <c r="OUG34" s="228"/>
      <c r="OUH34" s="228"/>
      <c r="OUI34" s="228"/>
      <c r="OUJ34" s="228"/>
      <c r="OUK34" s="228"/>
      <c r="OUL34" s="228"/>
      <c r="OUM34" s="228"/>
      <c r="OUN34" s="228"/>
      <c r="OUO34" s="228"/>
      <c r="OUP34" s="228"/>
      <c r="OUQ34" s="228"/>
      <c r="OUR34" s="228"/>
      <c r="OUS34" s="228"/>
      <c r="OUT34" s="228"/>
      <c r="OUU34" s="228"/>
      <c r="OUV34" s="228"/>
      <c r="OUW34" s="228"/>
      <c r="OUX34" s="228"/>
      <c r="OUY34" s="228"/>
      <c r="OUZ34" s="228"/>
      <c r="OVA34" s="228"/>
      <c r="OVB34" s="228"/>
      <c r="OVC34" s="228"/>
      <c r="OVD34" s="228"/>
      <c r="OVE34" s="228"/>
      <c r="OVF34" s="228"/>
      <c r="OVG34" s="228"/>
      <c r="OVH34" s="228"/>
      <c r="OVI34" s="228"/>
      <c r="OVJ34" s="228"/>
      <c r="OVK34" s="228"/>
      <c r="OVL34" s="228"/>
      <c r="OVM34" s="228"/>
      <c r="OVN34" s="228"/>
      <c r="OVO34" s="228"/>
      <c r="OVP34" s="228"/>
      <c r="OVQ34" s="228"/>
      <c r="OVR34" s="228"/>
      <c r="OVS34" s="228"/>
      <c r="OVT34" s="228"/>
      <c r="OVU34" s="228"/>
      <c r="OVV34" s="228"/>
      <c r="OVW34" s="228"/>
      <c r="OVX34" s="228"/>
      <c r="OVY34" s="228"/>
      <c r="OVZ34" s="228"/>
      <c r="OWA34" s="228"/>
      <c r="OWB34" s="228"/>
      <c r="OWC34" s="228"/>
      <c r="OWD34" s="228"/>
      <c r="OWE34" s="228"/>
      <c r="OWF34" s="228"/>
      <c r="OWG34" s="228"/>
      <c r="OWH34" s="228"/>
      <c r="OWI34" s="228"/>
      <c r="OWJ34" s="228"/>
      <c r="OWK34" s="228"/>
      <c r="OWL34" s="228"/>
      <c r="OWM34" s="228"/>
      <c r="OWN34" s="228"/>
      <c r="OWO34" s="228"/>
      <c r="OWP34" s="228"/>
      <c r="OWQ34" s="228"/>
      <c r="OWR34" s="228"/>
      <c r="OWS34" s="228"/>
      <c r="OWT34" s="228"/>
      <c r="OWU34" s="228"/>
      <c r="OWV34" s="228"/>
      <c r="OWW34" s="228"/>
      <c r="OWX34" s="228"/>
      <c r="OWY34" s="228"/>
      <c r="OWZ34" s="228"/>
      <c r="OXA34" s="228"/>
      <c r="OXB34" s="228"/>
      <c r="OXC34" s="228"/>
      <c r="OXD34" s="228"/>
      <c r="OXE34" s="228"/>
      <c r="OXF34" s="228"/>
      <c r="OXG34" s="228"/>
      <c r="OXH34" s="228"/>
      <c r="OXI34" s="228"/>
      <c r="OXJ34" s="228"/>
      <c r="OXK34" s="228"/>
      <c r="OXL34" s="228"/>
      <c r="OXM34" s="228"/>
      <c r="OXN34" s="228"/>
      <c r="OXO34" s="228"/>
      <c r="OXP34" s="228"/>
      <c r="OXQ34" s="228"/>
      <c r="OXR34" s="228"/>
      <c r="OXS34" s="228"/>
      <c r="OXT34" s="228"/>
      <c r="OXU34" s="228"/>
      <c r="OXV34" s="228"/>
      <c r="OXW34" s="228"/>
      <c r="OXX34" s="228"/>
      <c r="OXY34" s="228"/>
      <c r="OXZ34" s="228"/>
      <c r="OYA34" s="228"/>
      <c r="OYB34" s="228"/>
      <c r="OYC34" s="228"/>
      <c r="OYD34" s="228"/>
      <c r="OYE34" s="228"/>
      <c r="OYF34" s="228"/>
      <c r="OYG34" s="228"/>
      <c r="OYH34" s="228"/>
      <c r="OYI34" s="228"/>
      <c r="OYJ34" s="228"/>
      <c r="OYK34" s="228"/>
      <c r="OYL34" s="228"/>
      <c r="OYM34" s="228"/>
      <c r="OYN34" s="228"/>
      <c r="OYO34" s="228"/>
      <c r="OYP34" s="228"/>
      <c r="OYQ34" s="228"/>
      <c r="OYR34" s="228"/>
      <c r="OYS34" s="228"/>
      <c r="OYT34" s="228"/>
      <c r="OYU34" s="228"/>
      <c r="OYV34" s="228"/>
      <c r="OYW34" s="228"/>
      <c r="OYX34" s="228"/>
      <c r="OYY34" s="228"/>
      <c r="OYZ34" s="228"/>
      <c r="OZA34" s="228"/>
      <c r="OZB34" s="228"/>
      <c r="OZC34" s="228"/>
      <c r="OZD34" s="228"/>
      <c r="OZE34" s="228"/>
      <c r="OZF34" s="228"/>
      <c r="OZG34" s="228"/>
      <c r="OZH34" s="228"/>
      <c r="OZI34" s="228"/>
      <c r="OZJ34" s="228"/>
      <c r="OZK34" s="228"/>
      <c r="OZL34" s="228"/>
      <c r="OZM34" s="228"/>
      <c r="OZN34" s="228"/>
      <c r="OZO34" s="228"/>
      <c r="OZP34" s="228"/>
      <c r="OZQ34" s="228"/>
      <c r="OZR34" s="228"/>
      <c r="OZS34" s="228"/>
      <c r="OZT34" s="228"/>
      <c r="OZU34" s="228"/>
      <c r="OZV34" s="228"/>
      <c r="OZW34" s="228"/>
      <c r="OZX34" s="228"/>
      <c r="OZY34" s="228"/>
      <c r="OZZ34" s="228"/>
      <c r="PAA34" s="228"/>
      <c r="PAB34" s="228"/>
      <c r="PAC34" s="228"/>
      <c r="PAD34" s="228"/>
      <c r="PAE34" s="228"/>
      <c r="PAF34" s="228"/>
      <c r="PAG34" s="228"/>
      <c r="PAH34" s="228"/>
      <c r="PAI34" s="228"/>
      <c r="PAJ34" s="228"/>
      <c r="PAK34" s="228"/>
      <c r="PAL34" s="228"/>
      <c r="PAM34" s="228"/>
      <c r="PAN34" s="228"/>
      <c r="PAO34" s="228"/>
      <c r="PAP34" s="228"/>
      <c r="PAQ34" s="228"/>
      <c r="PAR34" s="228"/>
      <c r="PAS34" s="228"/>
      <c r="PAT34" s="228"/>
      <c r="PAU34" s="228"/>
      <c r="PAV34" s="228"/>
      <c r="PAW34" s="228"/>
      <c r="PAX34" s="228"/>
      <c r="PAY34" s="228"/>
      <c r="PAZ34" s="228"/>
      <c r="PBA34" s="228"/>
      <c r="PBB34" s="228"/>
      <c r="PBC34" s="228"/>
      <c r="PBD34" s="228"/>
      <c r="PBE34" s="228"/>
      <c r="PBF34" s="228"/>
      <c r="PBG34" s="228"/>
      <c r="PBH34" s="228"/>
      <c r="PBI34" s="228"/>
      <c r="PBJ34" s="228"/>
      <c r="PBK34" s="228"/>
      <c r="PBL34" s="228"/>
      <c r="PBM34" s="228"/>
      <c r="PBN34" s="228"/>
      <c r="PBO34" s="228"/>
      <c r="PBP34" s="228"/>
      <c r="PBQ34" s="228"/>
      <c r="PBR34" s="228"/>
      <c r="PBS34" s="228"/>
      <c r="PBT34" s="228"/>
      <c r="PBU34" s="228"/>
      <c r="PBV34" s="228"/>
      <c r="PBW34" s="228"/>
      <c r="PBX34" s="228"/>
      <c r="PBY34" s="228"/>
      <c r="PBZ34" s="228"/>
      <c r="PCA34" s="228"/>
      <c r="PCB34" s="228"/>
      <c r="PCC34" s="228"/>
      <c r="PCD34" s="228"/>
      <c r="PCE34" s="228"/>
      <c r="PCF34" s="228"/>
      <c r="PCG34" s="228"/>
      <c r="PCH34" s="228"/>
      <c r="PCI34" s="228"/>
      <c r="PCJ34" s="228"/>
      <c r="PCK34" s="228"/>
      <c r="PCL34" s="228"/>
      <c r="PCM34" s="228"/>
      <c r="PCN34" s="228"/>
      <c r="PCO34" s="228"/>
      <c r="PCP34" s="228"/>
      <c r="PCQ34" s="228"/>
      <c r="PCR34" s="228"/>
      <c r="PCS34" s="228"/>
      <c r="PCT34" s="228"/>
      <c r="PCU34" s="228"/>
      <c r="PCV34" s="228"/>
      <c r="PCW34" s="228"/>
      <c r="PCX34" s="228"/>
      <c r="PCY34" s="228"/>
      <c r="PCZ34" s="228"/>
      <c r="PDA34" s="228"/>
      <c r="PDB34" s="228"/>
      <c r="PDC34" s="228"/>
      <c r="PDD34" s="228"/>
      <c r="PDE34" s="228"/>
      <c r="PDF34" s="228"/>
      <c r="PDG34" s="228"/>
      <c r="PDH34" s="228"/>
      <c r="PDI34" s="228"/>
      <c r="PDJ34" s="228"/>
      <c r="PDK34" s="228"/>
      <c r="PDL34" s="228"/>
      <c r="PDM34" s="228"/>
      <c r="PDN34" s="228"/>
      <c r="PDO34" s="228"/>
      <c r="PDP34" s="228"/>
      <c r="PDQ34" s="228"/>
      <c r="PDR34" s="228"/>
      <c r="PDS34" s="228"/>
      <c r="PDT34" s="228"/>
      <c r="PDU34" s="228"/>
      <c r="PDV34" s="228"/>
      <c r="PDW34" s="228"/>
      <c r="PDX34" s="228"/>
      <c r="PDY34" s="228"/>
      <c r="PDZ34" s="228"/>
      <c r="PEA34" s="228"/>
      <c r="PEB34" s="228"/>
      <c r="PEC34" s="228"/>
      <c r="PED34" s="228"/>
      <c r="PEE34" s="228"/>
      <c r="PEF34" s="228"/>
      <c r="PEG34" s="228"/>
      <c r="PEH34" s="228"/>
      <c r="PEI34" s="228"/>
      <c r="PEJ34" s="228"/>
      <c r="PEK34" s="228"/>
      <c r="PEL34" s="228"/>
      <c r="PEM34" s="228"/>
      <c r="PEN34" s="228"/>
      <c r="PEO34" s="228"/>
      <c r="PEP34" s="228"/>
      <c r="PEQ34" s="228"/>
      <c r="PER34" s="228"/>
      <c r="PES34" s="228"/>
      <c r="PET34" s="228"/>
      <c r="PEU34" s="228"/>
      <c r="PEV34" s="228"/>
      <c r="PEW34" s="228"/>
      <c r="PEX34" s="228"/>
      <c r="PEY34" s="228"/>
      <c r="PEZ34" s="228"/>
      <c r="PFA34" s="228"/>
      <c r="PFB34" s="228"/>
      <c r="PFC34" s="228"/>
      <c r="PFD34" s="228"/>
      <c r="PFE34" s="228"/>
      <c r="PFF34" s="228"/>
      <c r="PFG34" s="228"/>
      <c r="PFH34" s="228"/>
      <c r="PFI34" s="228"/>
      <c r="PFJ34" s="228"/>
      <c r="PFK34" s="228"/>
      <c r="PFL34" s="228"/>
      <c r="PFM34" s="228"/>
      <c r="PFN34" s="228"/>
      <c r="PFO34" s="228"/>
      <c r="PFP34" s="228"/>
      <c r="PFQ34" s="228"/>
      <c r="PFR34" s="228"/>
      <c r="PFS34" s="228"/>
      <c r="PFT34" s="228"/>
      <c r="PFU34" s="228"/>
      <c r="PFV34" s="228"/>
      <c r="PFW34" s="228"/>
      <c r="PFX34" s="228"/>
      <c r="PFY34" s="228"/>
      <c r="PFZ34" s="228"/>
      <c r="PGA34" s="228"/>
      <c r="PGB34" s="228"/>
      <c r="PGC34" s="228"/>
      <c r="PGD34" s="228"/>
      <c r="PGE34" s="228"/>
      <c r="PGF34" s="228"/>
      <c r="PGG34" s="228"/>
      <c r="PGH34" s="228"/>
      <c r="PGI34" s="228"/>
      <c r="PGJ34" s="228"/>
      <c r="PGK34" s="228"/>
      <c r="PGL34" s="228"/>
      <c r="PGM34" s="228"/>
      <c r="PGN34" s="228"/>
      <c r="PGO34" s="228"/>
      <c r="PGP34" s="228"/>
      <c r="PGQ34" s="228"/>
      <c r="PGR34" s="228"/>
      <c r="PGS34" s="228"/>
      <c r="PGT34" s="228"/>
      <c r="PGU34" s="228"/>
      <c r="PGV34" s="228"/>
      <c r="PGW34" s="228"/>
      <c r="PGX34" s="228"/>
      <c r="PGY34" s="228"/>
      <c r="PGZ34" s="228"/>
      <c r="PHA34" s="228"/>
      <c r="PHB34" s="228"/>
      <c r="PHC34" s="228"/>
      <c r="PHD34" s="228"/>
      <c r="PHE34" s="228"/>
      <c r="PHF34" s="228"/>
      <c r="PHG34" s="228"/>
      <c r="PHH34" s="228"/>
      <c r="PHI34" s="228"/>
      <c r="PHJ34" s="228"/>
      <c r="PHK34" s="228"/>
      <c r="PHL34" s="228"/>
      <c r="PHM34" s="228"/>
      <c r="PHN34" s="228"/>
      <c r="PHO34" s="228"/>
      <c r="PHP34" s="228"/>
      <c r="PHQ34" s="228"/>
      <c r="PHR34" s="228"/>
      <c r="PHS34" s="228"/>
      <c r="PHT34" s="228"/>
      <c r="PHU34" s="228"/>
      <c r="PHV34" s="228"/>
      <c r="PHW34" s="228"/>
      <c r="PHX34" s="228"/>
      <c r="PHY34" s="228"/>
      <c r="PHZ34" s="228"/>
      <c r="PIA34" s="228"/>
      <c r="PIB34" s="228"/>
      <c r="PIC34" s="228"/>
      <c r="PID34" s="228"/>
      <c r="PIE34" s="228"/>
      <c r="PIF34" s="228"/>
      <c r="PIG34" s="228"/>
      <c r="PIH34" s="228"/>
      <c r="PII34" s="228"/>
      <c r="PIJ34" s="228"/>
      <c r="PIK34" s="228"/>
      <c r="PIL34" s="228"/>
      <c r="PIM34" s="228"/>
      <c r="PIN34" s="228"/>
      <c r="PIO34" s="228"/>
      <c r="PIP34" s="228"/>
      <c r="PIQ34" s="228"/>
      <c r="PIR34" s="228"/>
      <c r="PIS34" s="228"/>
      <c r="PIT34" s="228"/>
      <c r="PIU34" s="228"/>
      <c r="PIV34" s="228"/>
      <c r="PIW34" s="228"/>
      <c r="PIX34" s="228"/>
      <c r="PIY34" s="228"/>
      <c r="PIZ34" s="228"/>
      <c r="PJA34" s="228"/>
      <c r="PJB34" s="228"/>
      <c r="PJC34" s="228"/>
      <c r="PJD34" s="228"/>
      <c r="PJE34" s="228"/>
      <c r="PJF34" s="228"/>
      <c r="PJG34" s="228"/>
      <c r="PJH34" s="228"/>
      <c r="PJI34" s="228"/>
      <c r="PJJ34" s="228"/>
      <c r="PJK34" s="228"/>
      <c r="PJL34" s="228"/>
      <c r="PJM34" s="228"/>
      <c r="PJN34" s="228"/>
      <c r="PJO34" s="228"/>
      <c r="PJP34" s="228"/>
      <c r="PJQ34" s="228"/>
      <c r="PJR34" s="228"/>
      <c r="PJS34" s="228"/>
      <c r="PJT34" s="228"/>
      <c r="PJU34" s="228"/>
      <c r="PJV34" s="228"/>
      <c r="PJW34" s="228"/>
      <c r="PJX34" s="228"/>
      <c r="PJY34" s="228"/>
      <c r="PJZ34" s="228"/>
      <c r="PKA34" s="228"/>
      <c r="PKB34" s="228"/>
      <c r="PKC34" s="228"/>
      <c r="PKD34" s="228"/>
      <c r="PKE34" s="228"/>
      <c r="PKF34" s="228"/>
      <c r="PKG34" s="228"/>
      <c r="PKH34" s="228"/>
      <c r="PKI34" s="228"/>
      <c r="PKJ34" s="228"/>
      <c r="PKK34" s="228"/>
      <c r="PKL34" s="228"/>
      <c r="PKM34" s="228"/>
      <c r="PKN34" s="228"/>
      <c r="PKO34" s="228"/>
      <c r="PKP34" s="228"/>
      <c r="PKQ34" s="228"/>
      <c r="PKR34" s="228"/>
      <c r="PKS34" s="228"/>
      <c r="PKT34" s="228"/>
      <c r="PKU34" s="228"/>
      <c r="PKV34" s="228"/>
      <c r="PKW34" s="228"/>
      <c r="PKX34" s="228"/>
      <c r="PKY34" s="228"/>
      <c r="PKZ34" s="228"/>
      <c r="PLA34" s="228"/>
      <c r="PLB34" s="228"/>
      <c r="PLC34" s="228"/>
      <c r="PLD34" s="228"/>
      <c r="PLE34" s="228"/>
      <c r="PLF34" s="228"/>
      <c r="PLG34" s="228"/>
      <c r="PLH34" s="228"/>
      <c r="PLI34" s="228"/>
      <c r="PLJ34" s="228"/>
      <c r="PLK34" s="228"/>
      <c r="PLL34" s="228"/>
      <c r="PLM34" s="228"/>
      <c r="PLN34" s="228"/>
      <c r="PLO34" s="228"/>
      <c r="PLP34" s="228"/>
      <c r="PLQ34" s="228"/>
      <c r="PLR34" s="228"/>
      <c r="PLS34" s="228"/>
      <c r="PLT34" s="228"/>
      <c r="PLU34" s="228"/>
      <c r="PLV34" s="228"/>
      <c r="PLW34" s="228"/>
      <c r="PLX34" s="228"/>
      <c r="PLY34" s="228"/>
      <c r="PLZ34" s="228"/>
      <c r="PMA34" s="228"/>
      <c r="PMB34" s="228"/>
      <c r="PMC34" s="228"/>
      <c r="PMD34" s="228"/>
      <c r="PME34" s="228"/>
      <c r="PMF34" s="228"/>
      <c r="PMG34" s="228"/>
      <c r="PMH34" s="228"/>
      <c r="PMI34" s="228"/>
      <c r="PMJ34" s="228"/>
      <c r="PMK34" s="228"/>
      <c r="PML34" s="228"/>
      <c r="PMM34" s="228"/>
      <c r="PMN34" s="228"/>
      <c r="PMO34" s="228"/>
      <c r="PMP34" s="228"/>
      <c r="PMQ34" s="228"/>
      <c r="PMR34" s="228"/>
      <c r="PMS34" s="228"/>
      <c r="PMT34" s="228"/>
      <c r="PMU34" s="228"/>
      <c r="PMV34" s="228"/>
      <c r="PMW34" s="228"/>
      <c r="PMX34" s="228"/>
      <c r="PMY34" s="228"/>
      <c r="PMZ34" s="228"/>
      <c r="PNA34" s="228"/>
      <c r="PNB34" s="228"/>
      <c r="PNC34" s="228"/>
      <c r="PND34" s="228"/>
      <c r="PNE34" s="228"/>
      <c r="PNF34" s="228"/>
      <c r="PNG34" s="228"/>
      <c r="PNH34" s="228"/>
      <c r="PNI34" s="228"/>
      <c r="PNJ34" s="228"/>
      <c r="PNK34" s="228"/>
      <c r="PNL34" s="228"/>
      <c r="PNM34" s="228"/>
      <c r="PNN34" s="228"/>
      <c r="PNO34" s="228"/>
      <c r="PNP34" s="228"/>
      <c r="PNQ34" s="228"/>
      <c r="PNR34" s="228"/>
      <c r="PNS34" s="228"/>
      <c r="PNT34" s="228"/>
      <c r="PNU34" s="228"/>
      <c r="PNV34" s="228"/>
      <c r="PNW34" s="228"/>
      <c r="PNX34" s="228"/>
      <c r="PNY34" s="228"/>
      <c r="PNZ34" s="228"/>
      <c r="POA34" s="228"/>
      <c r="POB34" s="228"/>
      <c r="POC34" s="228"/>
      <c r="POD34" s="228"/>
      <c r="POE34" s="228"/>
      <c r="POF34" s="228"/>
      <c r="POG34" s="228"/>
      <c r="POH34" s="228"/>
      <c r="POI34" s="228"/>
      <c r="POJ34" s="228"/>
      <c r="POK34" s="228"/>
      <c r="POL34" s="228"/>
      <c r="POM34" s="228"/>
      <c r="PON34" s="228"/>
      <c r="POO34" s="228"/>
      <c r="POP34" s="228"/>
      <c r="POQ34" s="228"/>
      <c r="POR34" s="228"/>
      <c r="POS34" s="228"/>
      <c r="POT34" s="228"/>
      <c r="POU34" s="228"/>
      <c r="POV34" s="228"/>
      <c r="POW34" s="228"/>
      <c r="POX34" s="228"/>
      <c r="POY34" s="228"/>
      <c r="POZ34" s="228"/>
      <c r="PPA34" s="228"/>
      <c r="PPB34" s="228"/>
      <c r="PPC34" s="228"/>
      <c r="PPD34" s="228"/>
      <c r="PPE34" s="228"/>
      <c r="PPF34" s="228"/>
      <c r="PPG34" s="228"/>
      <c r="PPH34" s="228"/>
      <c r="PPI34" s="228"/>
      <c r="PPJ34" s="228"/>
      <c r="PPK34" s="228"/>
      <c r="PPL34" s="228"/>
      <c r="PPM34" s="228"/>
      <c r="PPN34" s="228"/>
      <c r="PPO34" s="228"/>
      <c r="PPP34" s="228"/>
      <c r="PPQ34" s="228"/>
      <c r="PPR34" s="228"/>
      <c r="PPS34" s="228"/>
      <c r="PPT34" s="228"/>
      <c r="PPU34" s="228"/>
      <c r="PPV34" s="228"/>
      <c r="PPW34" s="228"/>
      <c r="PPX34" s="228"/>
      <c r="PPY34" s="228"/>
      <c r="PPZ34" s="228"/>
      <c r="PQA34" s="228"/>
      <c r="PQB34" s="228"/>
      <c r="PQC34" s="228"/>
      <c r="PQD34" s="228"/>
      <c r="PQE34" s="228"/>
      <c r="PQF34" s="228"/>
      <c r="PQG34" s="228"/>
      <c r="PQH34" s="228"/>
      <c r="PQI34" s="228"/>
      <c r="PQJ34" s="228"/>
      <c r="PQK34" s="228"/>
      <c r="PQL34" s="228"/>
      <c r="PQM34" s="228"/>
      <c r="PQN34" s="228"/>
      <c r="PQO34" s="228"/>
      <c r="PQP34" s="228"/>
      <c r="PQQ34" s="228"/>
      <c r="PQR34" s="228"/>
      <c r="PQS34" s="228"/>
      <c r="PQT34" s="228"/>
      <c r="PQU34" s="228"/>
      <c r="PQV34" s="228"/>
      <c r="PQW34" s="228"/>
      <c r="PQX34" s="228"/>
      <c r="PQY34" s="228"/>
      <c r="PQZ34" s="228"/>
      <c r="PRA34" s="228"/>
      <c r="PRB34" s="228"/>
      <c r="PRC34" s="228"/>
      <c r="PRD34" s="228"/>
      <c r="PRE34" s="228"/>
      <c r="PRF34" s="228"/>
      <c r="PRG34" s="228"/>
      <c r="PRH34" s="228"/>
      <c r="PRI34" s="228"/>
      <c r="PRJ34" s="228"/>
      <c r="PRK34" s="228"/>
      <c r="PRL34" s="228"/>
      <c r="PRM34" s="228"/>
      <c r="PRN34" s="228"/>
      <c r="PRO34" s="228"/>
      <c r="PRP34" s="228"/>
      <c r="PRQ34" s="228"/>
      <c r="PRR34" s="228"/>
      <c r="PRS34" s="228"/>
      <c r="PRT34" s="228"/>
      <c r="PRU34" s="228"/>
      <c r="PRV34" s="228"/>
      <c r="PRW34" s="228"/>
      <c r="PRX34" s="228"/>
      <c r="PRY34" s="228"/>
      <c r="PRZ34" s="228"/>
      <c r="PSA34" s="228"/>
      <c r="PSB34" s="228"/>
      <c r="PSC34" s="228"/>
      <c r="PSD34" s="228"/>
      <c r="PSE34" s="228"/>
      <c r="PSF34" s="228"/>
      <c r="PSG34" s="228"/>
      <c r="PSH34" s="228"/>
      <c r="PSI34" s="228"/>
      <c r="PSJ34" s="228"/>
      <c r="PSK34" s="228"/>
      <c r="PSL34" s="228"/>
      <c r="PSM34" s="228"/>
      <c r="PSN34" s="228"/>
      <c r="PSO34" s="228"/>
      <c r="PSP34" s="228"/>
      <c r="PSQ34" s="228"/>
      <c r="PSR34" s="228"/>
      <c r="PSS34" s="228"/>
      <c r="PST34" s="228"/>
      <c r="PSU34" s="228"/>
      <c r="PSV34" s="228"/>
      <c r="PSW34" s="228"/>
      <c r="PSX34" s="228"/>
      <c r="PSY34" s="228"/>
      <c r="PSZ34" s="228"/>
      <c r="PTA34" s="228"/>
      <c r="PTB34" s="228"/>
      <c r="PTC34" s="228"/>
      <c r="PTD34" s="228"/>
      <c r="PTE34" s="228"/>
      <c r="PTF34" s="228"/>
      <c r="PTG34" s="228"/>
      <c r="PTH34" s="228"/>
      <c r="PTI34" s="228"/>
      <c r="PTJ34" s="228"/>
      <c r="PTK34" s="228"/>
      <c r="PTL34" s="228"/>
      <c r="PTM34" s="228"/>
      <c r="PTN34" s="228"/>
      <c r="PTO34" s="228"/>
      <c r="PTP34" s="228"/>
      <c r="PTQ34" s="228"/>
      <c r="PTR34" s="228"/>
      <c r="PTS34" s="228"/>
      <c r="PTT34" s="228"/>
      <c r="PTU34" s="228"/>
      <c r="PTV34" s="228"/>
      <c r="PTW34" s="228"/>
      <c r="PTX34" s="228"/>
      <c r="PTY34" s="228"/>
      <c r="PTZ34" s="228"/>
      <c r="PUA34" s="228"/>
      <c r="PUB34" s="228"/>
      <c r="PUC34" s="228"/>
      <c r="PUD34" s="228"/>
      <c r="PUE34" s="228"/>
      <c r="PUF34" s="228"/>
      <c r="PUG34" s="228"/>
      <c r="PUH34" s="228"/>
      <c r="PUI34" s="228"/>
      <c r="PUJ34" s="228"/>
      <c r="PUK34" s="228"/>
      <c r="PUL34" s="228"/>
      <c r="PUM34" s="228"/>
      <c r="PUN34" s="228"/>
      <c r="PUO34" s="228"/>
      <c r="PUP34" s="228"/>
      <c r="PUQ34" s="228"/>
      <c r="PUR34" s="228"/>
      <c r="PUS34" s="228"/>
      <c r="PUT34" s="228"/>
      <c r="PUU34" s="228"/>
      <c r="PUV34" s="228"/>
      <c r="PUW34" s="228"/>
      <c r="PUX34" s="228"/>
      <c r="PUY34" s="228"/>
      <c r="PUZ34" s="228"/>
      <c r="PVA34" s="228"/>
      <c r="PVB34" s="228"/>
      <c r="PVC34" s="228"/>
      <c r="PVD34" s="228"/>
      <c r="PVE34" s="228"/>
      <c r="PVF34" s="228"/>
      <c r="PVG34" s="228"/>
      <c r="PVH34" s="228"/>
      <c r="PVI34" s="228"/>
      <c r="PVJ34" s="228"/>
      <c r="PVK34" s="228"/>
      <c r="PVL34" s="228"/>
      <c r="PVM34" s="228"/>
      <c r="PVN34" s="228"/>
      <c r="PVO34" s="228"/>
      <c r="PVP34" s="228"/>
      <c r="PVQ34" s="228"/>
      <c r="PVR34" s="228"/>
      <c r="PVS34" s="228"/>
      <c r="PVT34" s="228"/>
      <c r="PVU34" s="228"/>
      <c r="PVV34" s="228"/>
      <c r="PVW34" s="228"/>
      <c r="PVX34" s="228"/>
      <c r="PVY34" s="228"/>
      <c r="PVZ34" s="228"/>
      <c r="PWA34" s="228"/>
      <c r="PWB34" s="228"/>
      <c r="PWC34" s="228"/>
      <c r="PWD34" s="228"/>
      <c r="PWE34" s="228"/>
      <c r="PWF34" s="228"/>
      <c r="PWG34" s="228"/>
      <c r="PWH34" s="228"/>
      <c r="PWI34" s="228"/>
      <c r="PWJ34" s="228"/>
      <c r="PWK34" s="228"/>
      <c r="PWL34" s="228"/>
      <c r="PWM34" s="228"/>
      <c r="PWN34" s="228"/>
      <c r="PWO34" s="228"/>
      <c r="PWP34" s="228"/>
      <c r="PWQ34" s="228"/>
      <c r="PWR34" s="228"/>
      <c r="PWS34" s="228"/>
      <c r="PWT34" s="228"/>
      <c r="PWU34" s="228"/>
      <c r="PWV34" s="228"/>
      <c r="PWW34" s="228"/>
      <c r="PWX34" s="228"/>
      <c r="PWY34" s="228"/>
      <c r="PWZ34" s="228"/>
      <c r="PXA34" s="228"/>
      <c r="PXB34" s="228"/>
      <c r="PXC34" s="228"/>
      <c r="PXD34" s="228"/>
      <c r="PXE34" s="228"/>
      <c r="PXF34" s="228"/>
      <c r="PXG34" s="228"/>
      <c r="PXH34" s="228"/>
      <c r="PXI34" s="228"/>
      <c r="PXJ34" s="228"/>
      <c r="PXK34" s="228"/>
      <c r="PXL34" s="228"/>
      <c r="PXM34" s="228"/>
      <c r="PXN34" s="228"/>
      <c r="PXO34" s="228"/>
      <c r="PXP34" s="228"/>
      <c r="PXQ34" s="228"/>
      <c r="PXR34" s="228"/>
      <c r="PXS34" s="228"/>
      <c r="PXT34" s="228"/>
      <c r="PXU34" s="228"/>
      <c r="PXV34" s="228"/>
      <c r="PXW34" s="228"/>
      <c r="PXX34" s="228"/>
      <c r="PXY34" s="228"/>
      <c r="PXZ34" s="228"/>
      <c r="PYA34" s="228"/>
      <c r="PYB34" s="228"/>
      <c r="PYC34" s="228"/>
      <c r="PYD34" s="228"/>
      <c r="PYE34" s="228"/>
      <c r="PYF34" s="228"/>
      <c r="PYG34" s="228"/>
      <c r="PYH34" s="228"/>
      <c r="PYI34" s="228"/>
      <c r="PYJ34" s="228"/>
      <c r="PYK34" s="228"/>
      <c r="PYL34" s="228"/>
      <c r="PYM34" s="228"/>
      <c r="PYN34" s="228"/>
      <c r="PYO34" s="228"/>
      <c r="PYP34" s="228"/>
      <c r="PYQ34" s="228"/>
      <c r="PYR34" s="228"/>
      <c r="PYS34" s="228"/>
      <c r="PYT34" s="228"/>
      <c r="PYU34" s="228"/>
      <c r="PYV34" s="228"/>
      <c r="PYW34" s="228"/>
      <c r="PYX34" s="228"/>
      <c r="PYY34" s="228"/>
      <c r="PYZ34" s="228"/>
      <c r="PZA34" s="228"/>
      <c r="PZB34" s="228"/>
      <c r="PZC34" s="228"/>
      <c r="PZD34" s="228"/>
      <c r="PZE34" s="228"/>
      <c r="PZF34" s="228"/>
      <c r="PZG34" s="228"/>
      <c r="PZH34" s="228"/>
      <c r="PZI34" s="228"/>
      <c r="PZJ34" s="228"/>
      <c r="PZK34" s="228"/>
      <c r="PZL34" s="228"/>
      <c r="PZM34" s="228"/>
      <c r="PZN34" s="228"/>
      <c r="PZO34" s="228"/>
      <c r="PZP34" s="228"/>
      <c r="PZQ34" s="228"/>
      <c r="PZR34" s="228"/>
      <c r="PZS34" s="228"/>
      <c r="PZT34" s="228"/>
      <c r="PZU34" s="228"/>
      <c r="PZV34" s="228"/>
      <c r="PZW34" s="228"/>
      <c r="PZX34" s="228"/>
      <c r="PZY34" s="228"/>
      <c r="PZZ34" s="228"/>
      <c r="QAA34" s="228"/>
      <c r="QAB34" s="228"/>
      <c r="QAC34" s="228"/>
      <c r="QAD34" s="228"/>
      <c r="QAE34" s="228"/>
      <c r="QAF34" s="228"/>
      <c r="QAG34" s="228"/>
      <c r="QAH34" s="228"/>
      <c r="QAI34" s="228"/>
      <c r="QAJ34" s="228"/>
      <c r="QAK34" s="228"/>
      <c r="QAL34" s="228"/>
      <c r="QAM34" s="228"/>
      <c r="QAN34" s="228"/>
      <c r="QAO34" s="228"/>
      <c r="QAP34" s="228"/>
      <c r="QAQ34" s="228"/>
      <c r="QAR34" s="228"/>
      <c r="QAS34" s="228"/>
      <c r="QAT34" s="228"/>
      <c r="QAU34" s="228"/>
      <c r="QAV34" s="228"/>
      <c r="QAW34" s="228"/>
      <c r="QAX34" s="228"/>
      <c r="QAY34" s="228"/>
      <c r="QAZ34" s="228"/>
      <c r="QBA34" s="228"/>
      <c r="QBB34" s="228"/>
      <c r="QBC34" s="228"/>
      <c r="QBD34" s="228"/>
      <c r="QBE34" s="228"/>
      <c r="QBF34" s="228"/>
      <c r="QBG34" s="228"/>
      <c r="QBH34" s="228"/>
      <c r="QBI34" s="228"/>
      <c r="QBJ34" s="228"/>
      <c r="QBK34" s="228"/>
      <c r="QBL34" s="228"/>
      <c r="QBM34" s="228"/>
      <c r="QBN34" s="228"/>
      <c r="QBO34" s="228"/>
      <c r="QBP34" s="228"/>
      <c r="QBQ34" s="228"/>
      <c r="QBR34" s="228"/>
      <c r="QBS34" s="228"/>
      <c r="QBT34" s="228"/>
      <c r="QBU34" s="228"/>
      <c r="QBV34" s="228"/>
      <c r="QBW34" s="228"/>
      <c r="QBX34" s="228"/>
      <c r="QBY34" s="228"/>
      <c r="QBZ34" s="228"/>
      <c r="QCA34" s="228"/>
      <c r="QCB34" s="228"/>
      <c r="QCC34" s="228"/>
      <c r="QCD34" s="228"/>
      <c r="QCE34" s="228"/>
      <c r="QCF34" s="228"/>
      <c r="QCG34" s="228"/>
      <c r="QCH34" s="228"/>
      <c r="QCI34" s="228"/>
      <c r="QCJ34" s="228"/>
      <c r="QCK34" s="228"/>
      <c r="QCL34" s="228"/>
      <c r="QCM34" s="228"/>
      <c r="QCN34" s="228"/>
      <c r="QCO34" s="228"/>
      <c r="QCP34" s="228"/>
      <c r="QCQ34" s="228"/>
      <c r="QCR34" s="228"/>
      <c r="QCS34" s="228"/>
      <c r="QCT34" s="228"/>
      <c r="QCU34" s="228"/>
      <c r="QCV34" s="228"/>
      <c r="QCW34" s="228"/>
      <c r="QCX34" s="228"/>
      <c r="QCY34" s="228"/>
      <c r="QCZ34" s="228"/>
      <c r="QDA34" s="228"/>
      <c r="QDB34" s="228"/>
      <c r="QDC34" s="228"/>
      <c r="QDD34" s="228"/>
      <c r="QDE34" s="228"/>
      <c r="QDF34" s="228"/>
      <c r="QDG34" s="228"/>
      <c r="QDH34" s="228"/>
      <c r="QDI34" s="228"/>
      <c r="QDJ34" s="228"/>
      <c r="QDK34" s="228"/>
      <c r="QDL34" s="228"/>
      <c r="QDM34" s="228"/>
      <c r="QDN34" s="228"/>
      <c r="QDO34" s="228"/>
      <c r="QDP34" s="228"/>
      <c r="QDQ34" s="228"/>
      <c r="QDR34" s="228"/>
      <c r="QDS34" s="228"/>
      <c r="QDT34" s="228"/>
      <c r="QDU34" s="228"/>
      <c r="QDV34" s="228"/>
      <c r="QDW34" s="228"/>
      <c r="QDX34" s="228"/>
      <c r="QDY34" s="228"/>
      <c r="QDZ34" s="228"/>
      <c r="QEA34" s="228"/>
      <c r="QEB34" s="228"/>
      <c r="QEC34" s="228"/>
      <c r="QED34" s="228"/>
      <c r="QEE34" s="228"/>
      <c r="QEF34" s="228"/>
      <c r="QEG34" s="228"/>
      <c r="QEH34" s="228"/>
      <c r="QEI34" s="228"/>
      <c r="QEJ34" s="228"/>
      <c r="QEK34" s="228"/>
      <c r="QEL34" s="228"/>
      <c r="QEM34" s="228"/>
      <c r="QEN34" s="228"/>
      <c r="QEO34" s="228"/>
      <c r="QEP34" s="228"/>
      <c r="QEQ34" s="228"/>
      <c r="QER34" s="228"/>
      <c r="QES34" s="228"/>
      <c r="QET34" s="228"/>
      <c r="QEU34" s="228"/>
      <c r="QEV34" s="228"/>
      <c r="QEW34" s="228"/>
      <c r="QEX34" s="228"/>
      <c r="QEY34" s="228"/>
      <c r="QEZ34" s="228"/>
      <c r="QFA34" s="228"/>
      <c r="QFB34" s="228"/>
      <c r="QFC34" s="228"/>
      <c r="QFD34" s="228"/>
      <c r="QFE34" s="228"/>
      <c r="QFF34" s="228"/>
      <c r="QFG34" s="228"/>
      <c r="QFH34" s="228"/>
      <c r="QFI34" s="228"/>
      <c r="QFJ34" s="228"/>
      <c r="QFK34" s="228"/>
      <c r="QFL34" s="228"/>
      <c r="QFM34" s="228"/>
      <c r="QFN34" s="228"/>
      <c r="QFO34" s="228"/>
      <c r="QFP34" s="228"/>
      <c r="QFQ34" s="228"/>
      <c r="QFR34" s="228"/>
      <c r="QFS34" s="228"/>
      <c r="QFT34" s="228"/>
      <c r="QFU34" s="228"/>
      <c r="QFV34" s="228"/>
      <c r="QFW34" s="228"/>
      <c r="QFX34" s="228"/>
      <c r="QFY34" s="228"/>
      <c r="QFZ34" s="228"/>
      <c r="QGA34" s="228"/>
      <c r="QGB34" s="228"/>
      <c r="QGC34" s="228"/>
      <c r="QGD34" s="228"/>
      <c r="QGE34" s="228"/>
      <c r="QGF34" s="228"/>
      <c r="QGG34" s="228"/>
      <c r="QGH34" s="228"/>
      <c r="QGI34" s="228"/>
      <c r="QGJ34" s="228"/>
      <c r="QGK34" s="228"/>
      <c r="QGL34" s="228"/>
      <c r="QGM34" s="228"/>
      <c r="QGN34" s="228"/>
      <c r="QGO34" s="228"/>
      <c r="QGP34" s="228"/>
      <c r="QGQ34" s="228"/>
      <c r="QGR34" s="228"/>
      <c r="QGS34" s="228"/>
      <c r="QGT34" s="228"/>
      <c r="QGU34" s="228"/>
      <c r="QGV34" s="228"/>
      <c r="QGW34" s="228"/>
      <c r="QGX34" s="228"/>
      <c r="QGY34" s="228"/>
      <c r="QGZ34" s="228"/>
      <c r="QHA34" s="228"/>
      <c r="QHB34" s="228"/>
      <c r="QHC34" s="228"/>
      <c r="QHD34" s="228"/>
      <c r="QHE34" s="228"/>
      <c r="QHF34" s="228"/>
      <c r="QHG34" s="228"/>
      <c r="QHH34" s="228"/>
      <c r="QHI34" s="228"/>
      <c r="QHJ34" s="228"/>
      <c r="QHK34" s="228"/>
      <c r="QHL34" s="228"/>
      <c r="QHM34" s="228"/>
      <c r="QHN34" s="228"/>
      <c r="QHO34" s="228"/>
      <c r="QHP34" s="228"/>
      <c r="QHQ34" s="228"/>
      <c r="QHR34" s="228"/>
      <c r="QHS34" s="228"/>
      <c r="QHT34" s="228"/>
      <c r="QHU34" s="228"/>
      <c r="QHV34" s="228"/>
      <c r="QHW34" s="228"/>
      <c r="QHX34" s="228"/>
      <c r="QHY34" s="228"/>
      <c r="QHZ34" s="228"/>
      <c r="QIA34" s="228"/>
      <c r="QIB34" s="228"/>
      <c r="QIC34" s="228"/>
      <c r="QID34" s="228"/>
      <c r="QIE34" s="228"/>
      <c r="QIF34" s="228"/>
      <c r="QIG34" s="228"/>
      <c r="QIH34" s="228"/>
      <c r="QII34" s="228"/>
      <c r="QIJ34" s="228"/>
      <c r="QIK34" s="228"/>
      <c r="QIL34" s="228"/>
      <c r="QIM34" s="228"/>
      <c r="QIN34" s="228"/>
      <c r="QIO34" s="228"/>
      <c r="QIP34" s="228"/>
      <c r="QIQ34" s="228"/>
      <c r="QIR34" s="228"/>
      <c r="QIS34" s="228"/>
      <c r="QIT34" s="228"/>
      <c r="QIU34" s="228"/>
      <c r="QIV34" s="228"/>
      <c r="QIW34" s="228"/>
      <c r="QIX34" s="228"/>
      <c r="QIY34" s="228"/>
      <c r="QIZ34" s="228"/>
      <c r="QJA34" s="228"/>
      <c r="QJB34" s="228"/>
      <c r="QJC34" s="228"/>
      <c r="QJD34" s="228"/>
      <c r="QJE34" s="228"/>
      <c r="QJF34" s="228"/>
      <c r="QJG34" s="228"/>
      <c r="QJH34" s="228"/>
      <c r="QJI34" s="228"/>
      <c r="QJJ34" s="228"/>
      <c r="QJK34" s="228"/>
      <c r="QJL34" s="228"/>
      <c r="QJM34" s="228"/>
      <c r="QJN34" s="228"/>
      <c r="QJO34" s="228"/>
      <c r="QJP34" s="228"/>
      <c r="QJQ34" s="228"/>
      <c r="QJR34" s="228"/>
      <c r="QJS34" s="228"/>
      <c r="QJT34" s="228"/>
      <c r="QJU34" s="228"/>
      <c r="QJV34" s="228"/>
      <c r="QJW34" s="228"/>
      <c r="QJX34" s="228"/>
      <c r="QJY34" s="228"/>
      <c r="QJZ34" s="228"/>
      <c r="QKA34" s="228"/>
      <c r="QKB34" s="228"/>
      <c r="QKC34" s="228"/>
      <c r="QKD34" s="228"/>
      <c r="QKE34" s="228"/>
      <c r="QKF34" s="228"/>
      <c r="QKG34" s="228"/>
      <c r="QKH34" s="228"/>
      <c r="QKI34" s="228"/>
      <c r="QKJ34" s="228"/>
      <c r="QKK34" s="228"/>
      <c r="QKL34" s="228"/>
      <c r="QKM34" s="228"/>
      <c r="QKN34" s="228"/>
      <c r="QKO34" s="228"/>
      <c r="QKP34" s="228"/>
      <c r="QKQ34" s="228"/>
      <c r="QKR34" s="228"/>
      <c r="QKS34" s="228"/>
      <c r="QKT34" s="228"/>
      <c r="QKU34" s="228"/>
      <c r="QKV34" s="228"/>
      <c r="QKW34" s="228"/>
      <c r="QKX34" s="228"/>
      <c r="QKY34" s="228"/>
      <c r="QKZ34" s="228"/>
      <c r="QLA34" s="228"/>
      <c r="QLB34" s="228"/>
      <c r="QLC34" s="228"/>
      <c r="QLD34" s="228"/>
      <c r="QLE34" s="228"/>
      <c r="QLF34" s="228"/>
      <c r="QLG34" s="228"/>
      <c r="QLH34" s="228"/>
      <c r="QLI34" s="228"/>
      <c r="QLJ34" s="228"/>
      <c r="QLK34" s="228"/>
      <c r="QLL34" s="228"/>
      <c r="QLM34" s="228"/>
      <c r="QLN34" s="228"/>
      <c r="QLO34" s="228"/>
      <c r="QLP34" s="228"/>
      <c r="QLQ34" s="228"/>
      <c r="QLR34" s="228"/>
      <c r="QLS34" s="228"/>
      <c r="QLT34" s="228"/>
      <c r="QLU34" s="228"/>
      <c r="QLV34" s="228"/>
      <c r="QLW34" s="228"/>
      <c r="QLX34" s="228"/>
      <c r="QLY34" s="228"/>
      <c r="QLZ34" s="228"/>
      <c r="QMA34" s="228"/>
      <c r="QMB34" s="228"/>
      <c r="QMC34" s="228"/>
      <c r="QMD34" s="228"/>
      <c r="QME34" s="228"/>
      <c r="QMF34" s="228"/>
      <c r="QMG34" s="228"/>
      <c r="QMH34" s="228"/>
      <c r="QMI34" s="228"/>
      <c r="QMJ34" s="228"/>
      <c r="QMK34" s="228"/>
      <c r="QML34" s="228"/>
      <c r="QMM34" s="228"/>
      <c r="QMN34" s="228"/>
      <c r="QMO34" s="228"/>
      <c r="QMP34" s="228"/>
      <c r="QMQ34" s="228"/>
      <c r="QMR34" s="228"/>
      <c r="QMS34" s="228"/>
      <c r="QMT34" s="228"/>
      <c r="QMU34" s="228"/>
      <c r="QMV34" s="228"/>
      <c r="QMW34" s="228"/>
      <c r="QMX34" s="228"/>
      <c r="QMY34" s="228"/>
      <c r="QMZ34" s="228"/>
      <c r="QNA34" s="228"/>
      <c r="QNB34" s="228"/>
      <c r="QNC34" s="228"/>
      <c r="QND34" s="228"/>
      <c r="QNE34" s="228"/>
      <c r="QNF34" s="228"/>
      <c r="QNG34" s="228"/>
      <c r="QNH34" s="228"/>
      <c r="QNI34" s="228"/>
      <c r="QNJ34" s="228"/>
      <c r="QNK34" s="228"/>
      <c r="QNL34" s="228"/>
      <c r="QNM34" s="228"/>
      <c r="QNN34" s="228"/>
      <c r="QNO34" s="228"/>
      <c r="QNP34" s="228"/>
      <c r="QNQ34" s="228"/>
      <c r="QNR34" s="228"/>
      <c r="QNS34" s="228"/>
      <c r="QNT34" s="228"/>
      <c r="QNU34" s="228"/>
      <c r="QNV34" s="228"/>
      <c r="QNW34" s="228"/>
      <c r="QNX34" s="228"/>
      <c r="QNY34" s="228"/>
      <c r="QNZ34" s="228"/>
      <c r="QOA34" s="228"/>
      <c r="QOB34" s="228"/>
      <c r="QOC34" s="228"/>
      <c r="QOD34" s="228"/>
      <c r="QOE34" s="228"/>
      <c r="QOF34" s="228"/>
      <c r="QOG34" s="228"/>
      <c r="QOH34" s="228"/>
      <c r="QOI34" s="228"/>
      <c r="QOJ34" s="228"/>
      <c r="QOK34" s="228"/>
      <c r="QOL34" s="228"/>
      <c r="QOM34" s="228"/>
      <c r="QON34" s="228"/>
      <c r="QOO34" s="228"/>
      <c r="QOP34" s="228"/>
      <c r="QOQ34" s="228"/>
      <c r="QOR34" s="228"/>
      <c r="QOS34" s="228"/>
      <c r="QOT34" s="228"/>
      <c r="QOU34" s="228"/>
      <c r="QOV34" s="228"/>
      <c r="QOW34" s="228"/>
      <c r="QOX34" s="228"/>
      <c r="QOY34" s="228"/>
      <c r="QOZ34" s="228"/>
      <c r="QPA34" s="228"/>
      <c r="QPB34" s="228"/>
      <c r="QPC34" s="228"/>
      <c r="QPD34" s="228"/>
      <c r="QPE34" s="228"/>
      <c r="QPF34" s="228"/>
      <c r="QPG34" s="228"/>
      <c r="QPH34" s="228"/>
      <c r="QPI34" s="228"/>
      <c r="QPJ34" s="228"/>
      <c r="QPK34" s="228"/>
      <c r="QPL34" s="228"/>
      <c r="QPM34" s="228"/>
      <c r="QPN34" s="228"/>
      <c r="QPO34" s="228"/>
      <c r="QPP34" s="228"/>
      <c r="QPQ34" s="228"/>
      <c r="QPR34" s="228"/>
      <c r="QPS34" s="228"/>
      <c r="QPT34" s="228"/>
      <c r="QPU34" s="228"/>
      <c r="QPV34" s="228"/>
      <c r="QPW34" s="228"/>
      <c r="QPX34" s="228"/>
      <c r="QPY34" s="228"/>
      <c r="QPZ34" s="228"/>
      <c r="QQA34" s="228"/>
      <c r="QQB34" s="228"/>
      <c r="QQC34" s="228"/>
      <c r="QQD34" s="228"/>
      <c r="QQE34" s="228"/>
      <c r="QQF34" s="228"/>
      <c r="QQG34" s="228"/>
      <c r="QQH34" s="228"/>
      <c r="QQI34" s="228"/>
      <c r="QQJ34" s="228"/>
      <c r="QQK34" s="228"/>
      <c r="QQL34" s="228"/>
      <c r="QQM34" s="228"/>
      <c r="QQN34" s="228"/>
      <c r="QQO34" s="228"/>
      <c r="QQP34" s="228"/>
      <c r="QQQ34" s="228"/>
      <c r="QQR34" s="228"/>
      <c r="QQS34" s="228"/>
      <c r="QQT34" s="228"/>
      <c r="QQU34" s="228"/>
      <c r="QQV34" s="228"/>
      <c r="QQW34" s="228"/>
      <c r="QQX34" s="228"/>
      <c r="QQY34" s="228"/>
      <c r="QQZ34" s="228"/>
      <c r="QRA34" s="228"/>
      <c r="QRB34" s="228"/>
      <c r="QRC34" s="228"/>
      <c r="QRD34" s="228"/>
      <c r="QRE34" s="228"/>
      <c r="QRF34" s="228"/>
      <c r="QRG34" s="228"/>
      <c r="QRH34" s="228"/>
      <c r="QRI34" s="228"/>
      <c r="QRJ34" s="228"/>
      <c r="QRK34" s="228"/>
      <c r="QRL34" s="228"/>
      <c r="QRM34" s="228"/>
      <c r="QRN34" s="228"/>
      <c r="QRO34" s="228"/>
      <c r="QRP34" s="228"/>
      <c r="QRQ34" s="228"/>
      <c r="QRR34" s="228"/>
      <c r="QRS34" s="228"/>
      <c r="QRT34" s="228"/>
      <c r="QRU34" s="228"/>
      <c r="QRV34" s="228"/>
      <c r="QRW34" s="228"/>
      <c r="QRX34" s="228"/>
      <c r="QRY34" s="228"/>
      <c r="QRZ34" s="228"/>
      <c r="QSA34" s="228"/>
      <c r="QSB34" s="228"/>
      <c r="QSC34" s="228"/>
      <c r="QSD34" s="228"/>
      <c r="QSE34" s="228"/>
      <c r="QSF34" s="228"/>
      <c r="QSG34" s="228"/>
      <c r="QSH34" s="228"/>
      <c r="QSI34" s="228"/>
      <c r="QSJ34" s="228"/>
      <c r="QSK34" s="228"/>
      <c r="QSL34" s="228"/>
      <c r="QSM34" s="228"/>
      <c r="QSN34" s="228"/>
      <c r="QSO34" s="228"/>
      <c r="QSP34" s="228"/>
      <c r="QSQ34" s="228"/>
      <c r="QSR34" s="228"/>
      <c r="QSS34" s="228"/>
      <c r="QST34" s="228"/>
      <c r="QSU34" s="228"/>
      <c r="QSV34" s="228"/>
      <c r="QSW34" s="228"/>
      <c r="QSX34" s="228"/>
      <c r="QSY34" s="228"/>
      <c r="QSZ34" s="228"/>
      <c r="QTA34" s="228"/>
      <c r="QTB34" s="228"/>
      <c r="QTC34" s="228"/>
      <c r="QTD34" s="228"/>
      <c r="QTE34" s="228"/>
      <c r="QTF34" s="228"/>
      <c r="QTG34" s="228"/>
      <c r="QTH34" s="228"/>
      <c r="QTI34" s="228"/>
      <c r="QTJ34" s="228"/>
      <c r="QTK34" s="228"/>
      <c r="QTL34" s="228"/>
      <c r="QTM34" s="228"/>
      <c r="QTN34" s="228"/>
      <c r="QTO34" s="228"/>
      <c r="QTP34" s="228"/>
      <c r="QTQ34" s="228"/>
      <c r="QTR34" s="228"/>
      <c r="QTS34" s="228"/>
      <c r="QTT34" s="228"/>
      <c r="QTU34" s="228"/>
      <c r="QTV34" s="228"/>
      <c r="QTW34" s="228"/>
      <c r="QTX34" s="228"/>
      <c r="QTY34" s="228"/>
      <c r="QTZ34" s="228"/>
      <c r="QUA34" s="228"/>
      <c r="QUB34" s="228"/>
      <c r="QUC34" s="228"/>
      <c r="QUD34" s="228"/>
      <c r="QUE34" s="228"/>
      <c r="QUF34" s="228"/>
      <c r="QUG34" s="228"/>
      <c r="QUH34" s="228"/>
      <c r="QUI34" s="228"/>
      <c r="QUJ34" s="228"/>
      <c r="QUK34" s="228"/>
      <c r="QUL34" s="228"/>
      <c r="QUM34" s="228"/>
      <c r="QUN34" s="228"/>
      <c r="QUO34" s="228"/>
      <c r="QUP34" s="228"/>
      <c r="QUQ34" s="228"/>
      <c r="QUR34" s="228"/>
      <c r="QUS34" s="228"/>
      <c r="QUT34" s="228"/>
      <c r="QUU34" s="228"/>
      <c r="QUV34" s="228"/>
      <c r="QUW34" s="228"/>
      <c r="QUX34" s="228"/>
      <c r="QUY34" s="228"/>
      <c r="QUZ34" s="228"/>
      <c r="QVA34" s="228"/>
      <c r="QVB34" s="228"/>
      <c r="QVC34" s="228"/>
      <c r="QVD34" s="228"/>
      <c r="QVE34" s="228"/>
      <c r="QVF34" s="228"/>
      <c r="QVG34" s="228"/>
      <c r="QVH34" s="228"/>
      <c r="QVI34" s="228"/>
      <c r="QVJ34" s="228"/>
      <c r="QVK34" s="228"/>
      <c r="QVL34" s="228"/>
      <c r="QVM34" s="228"/>
      <c r="QVN34" s="228"/>
      <c r="QVO34" s="228"/>
      <c r="QVP34" s="228"/>
      <c r="QVQ34" s="228"/>
      <c r="QVR34" s="228"/>
      <c r="QVS34" s="228"/>
      <c r="QVT34" s="228"/>
      <c r="QVU34" s="228"/>
      <c r="QVV34" s="228"/>
      <c r="QVW34" s="228"/>
      <c r="QVX34" s="228"/>
      <c r="QVY34" s="228"/>
      <c r="QVZ34" s="228"/>
      <c r="QWA34" s="228"/>
      <c r="QWB34" s="228"/>
      <c r="QWC34" s="228"/>
      <c r="QWD34" s="228"/>
      <c r="QWE34" s="228"/>
      <c r="QWF34" s="228"/>
      <c r="QWG34" s="228"/>
      <c r="QWH34" s="228"/>
      <c r="QWI34" s="228"/>
      <c r="QWJ34" s="228"/>
      <c r="QWK34" s="228"/>
      <c r="QWL34" s="228"/>
      <c r="QWM34" s="228"/>
      <c r="QWN34" s="228"/>
      <c r="QWO34" s="228"/>
      <c r="QWP34" s="228"/>
      <c r="QWQ34" s="228"/>
      <c r="QWR34" s="228"/>
      <c r="QWS34" s="228"/>
      <c r="QWT34" s="228"/>
      <c r="QWU34" s="228"/>
      <c r="QWV34" s="228"/>
      <c r="QWW34" s="228"/>
      <c r="QWX34" s="228"/>
      <c r="QWY34" s="228"/>
      <c r="QWZ34" s="228"/>
      <c r="QXA34" s="228"/>
      <c r="QXB34" s="228"/>
      <c r="QXC34" s="228"/>
      <c r="QXD34" s="228"/>
      <c r="QXE34" s="228"/>
      <c r="QXF34" s="228"/>
      <c r="QXG34" s="228"/>
      <c r="QXH34" s="228"/>
      <c r="QXI34" s="228"/>
      <c r="QXJ34" s="228"/>
      <c r="QXK34" s="228"/>
      <c r="QXL34" s="228"/>
      <c r="QXM34" s="228"/>
      <c r="QXN34" s="228"/>
      <c r="QXO34" s="228"/>
      <c r="QXP34" s="228"/>
      <c r="QXQ34" s="228"/>
      <c r="QXR34" s="228"/>
      <c r="QXS34" s="228"/>
      <c r="QXT34" s="228"/>
      <c r="QXU34" s="228"/>
      <c r="QXV34" s="228"/>
      <c r="QXW34" s="228"/>
      <c r="QXX34" s="228"/>
      <c r="QXY34" s="228"/>
      <c r="QXZ34" s="228"/>
      <c r="QYA34" s="228"/>
      <c r="QYB34" s="228"/>
      <c r="QYC34" s="228"/>
      <c r="QYD34" s="228"/>
      <c r="QYE34" s="228"/>
      <c r="QYF34" s="228"/>
      <c r="QYG34" s="228"/>
      <c r="QYH34" s="228"/>
      <c r="QYI34" s="228"/>
      <c r="QYJ34" s="228"/>
      <c r="QYK34" s="228"/>
      <c r="QYL34" s="228"/>
      <c r="QYM34" s="228"/>
      <c r="QYN34" s="228"/>
      <c r="QYO34" s="228"/>
      <c r="QYP34" s="228"/>
      <c r="QYQ34" s="228"/>
      <c r="QYR34" s="228"/>
      <c r="QYS34" s="228"/>
      <c r="QYT34" s="228"/>
      <c r="QYU34" s="228"/>
      <c r="QYV34" s="228"/>
      <c r="QYW34" s="228"/>
      <c r="QYX34" s="228"/>
      <c r="QYY34" s="228"/>
      <c r="QYZ34" s="228"/>
      <c r="QZA34" s="228"/>
      <c r="QZB34" s="228"/>
      <c r="QZC34" s="228"/>
      <c r="QZD34" s="228"/>
      <c r="QZE34" s="228"/>
      <c r="QZF34" s="228"/>
      <c r="QZG34" s="228"/>
      <c r="QZH34" s="228"/>
      <c r="QZI34" s="228"/>
      <c r="QZJ34" s="228"/>
      <c r="QZK34" s="228"/>
      <c r="QZL34" s="228"/>
      <c r="QZM34" s="228"/>
      <c r="QZN34" s="228"/>
      <c r="QZO34" s="228"/>
      <c r="QZP34" s="228"/>
      <c r="QZQ34" s="228"/>
      <c r="QZR34" s="228"/>
      <c r="QZS34" s="228"/>
      <c r="QZT34" s="228"/>
      <c r="QZU34" s="228"/>
      <c r="QZV34" s="228"/>
      <c r="QZW34" s="228"/>
      <c r="QZX34" s="228"/>
      <c r="QZY34" s="228"/>
      <c r="QZZ34" s="228"/>
      <c r="RAA34" s="228"/>
      <c r="RAB34" s="228"/>
      <c r="RAC34" s="228"/>
      <c r="RAD34" s="228"/>
      <c r="RAE34" s="228"/>
      <c r="RAF34" s="228"/>
      <c r="RAG34" s="228"/>
      <c r="RAH34" s="228"/>
      <c r="RAI34" s="228"/>
      <c r="RAJ34" s="228"/>
      <c r="RAK34" s="228"/>
      <c r="RAL34" s="228"/>
      <c r="RAM34" s="228"/>
      <c r="RAN34" s="228"/>
      <c r="RAO34" s="228"/>
      <c r="RAP34" s="228"/>
      <c r="RAQ34" s="228"/>
      <c r="RAR34" s="228"/>
      <c r="RAS34" s="228"/>
      <c r="RAT34" s="228"/>
      <c r="RAU34" s="228"/>
      <c r="RAV34" s="228"/>
      <c r="RAW34" s="228"/>
      <c r="RAX34" s="228"/>
      <c r="RAY34" s="228"/>
      <c r="RAZ34" s="228"/>
      <c r="RBA34" s="228"/>
      <c r="RBB34" s="228"/>
      <c r="RBC34" s="228"/>
      <c r="RBD34" s="228"/>
      <c r="RBE34" s="228"/>
      <c r="RBF34" s="228"/>
      <c r="RBG34" s="228"/>
      <c r="RBH34" s="228"/>
      <c r="RBI34" s="228"/>
      <c r="RBJ34" s="228"/>
      <c r="RBK34" s="228"/>
      <c r="RBL34" s="228"/>
      <c r="RBM34" s="228"/>
      <c r="RBN34" s="228"/>
      <c r="RBO34" s="228"/>
      <c r="RBP34" s="228"/>
      <c r="RBQ34" s="228"/>
      <c r="RBR34" s="228"/>
      <c r="RBS34" s="228"/>
      <c r="RBT34" s="228"/>
      <c r="RBU34" s="228"/>
      <c r="RBV34" s="228"/>
      <c r="RBW34" s="228"/>
      <c r="RBX34" s="228"/>
      <c r="RBY34" s="228"/>
      <c r="RBZ34" s="228"/>
      <c r="RCA34" s="228"/>
      <c r="RCB34" s="228"/>
      <c r="RCC34" s="228"/>
      <c r="RCD34" s="228"/>
      <c r="RCE34" s="228"/>
      <c r="RCF34" s="228"/>
      <c r="RCG34" s="228"/>
      <c r="RCH34" s="228"/>
      <c r="RCI34" s="228"/>
      <c r="RCJ34" s="228"/>
      <c r="RCK34" s="228"/>
      <c r="RCL34" s="228"/>
      <c r="RCM34" s="228"/>
      <c r="RCN34" s="228"/>
      <c r="RCO34" s="228"/>
      <c r="RCP34" s="228"/>
      <c r="RCQ34" s="228"/>
      <c r="RCR34" s="228"/>
      <c r="RCS34" s="228"/>
      <c r="RCT34" s="228"/>
      <c r="RCU34" s="228"/>
      <c r="RCV34" s="228"/>
      <c r="RCW34" s="228"/>
      <c r="RCX34" s="228"/>
      <c r="RCY34" s="228"/>
      <c r="RCZ34" s="228"/>
      <c r="RDA34" s="228"/>
      <c r="RDB34" s="228"/>
      <c r="RDC34" s="228"/>
      <c r="RDD34" s="228"/>
      <c r="RDE34" s="228"/>
      <c r="RDF34" s="228"/>
      <c r="RDG34" s="228"/>
      <c r="RDH34" s="228"/>
      <c r="RDI34" s="228"/>
      <c r="RDJ34" s="228"/>
      <c r="RDK34" s="228"/>
      <c r="RDL34" s="228"/>
      <c r="RDM34" s="228"/>
      <c r="RDN34" s="228"/>
      <c r="RDO34" s="228"/>
      <c r="RDP34" s="228"/>
      <c r="RDQ34" s="228"/>
      <c r="RDR34" s="228"/>
      <c r="RDS34" s="228"/>
      <c r="RDT34" s="228"/>
      <c r="RDU34" s="228"/>
      <c r="RDV34" s="228"/>
      <c r="RDW34" s="228"/>
      <c r="RDX34" s="228"/>
      <c r="RDY34" s="228"/>
      <c r="RDZ34" s="228"/>
      <c r="REA34" s="228"/>
      <c r="REB34" s="228"/>
      <c r="REC34" s="228"/>
      <c r="RED34" s="228"/>
      <c r="REE34" s="228"/>
      <c r="REF34" s="228"/>
      <c r="REG34" s="228"/>
      <c r="REH34" s="228"/>
      <c r="REI34" s="228"/>
      <c r="REJ34" s="228"/>
      <c r="REK34" s="228"/>
      <c r="REL34" s="228"/>
      <c r="REM34" s="228"/>
      <c r="REN34" s="228"/>
      <c r="REO34" s="228"/>
      <c r="REP34" s="228"/>
      <c r="REQ34" s="228"/>
      <c r="RER34" s="228"/>
      <c r="RES34" s="228"/>
      <c r="RET34" s="228"/>
      <c r="REU34" s="228"/>
      <c r="REV34" s="228"/>
      <c r="REW34" s="228"/>
      <c r="REX34" s="228"/>
      <c r="REY34" s="228"/>
      <c r="REZ34" s="228"/>
      <c r="RFA34" s="228"/>
      <c r="RFB34" s="228"/>
      <c r="RFC34" s="228"/>
      <c r="RFD34" s="228"/>
      <c r="RFE34" s="228"/>
      <c r="RFF34" s="228"/>
      <c r="RFG34" s="228"/>
      <c r="RFH34" s="228"/>
      <c r="RFI34" s="228"/>
      <c r="RFJ34" s="228"/>
      <c r="RFK34" s="228"/>
      <c r="RFL34" s="228"/>
      <c r="RFM34" s="228"/>
      <c r="RFN34" s="228"/>
      <c r="RFO34" s="228"/>
      <c r="RFP34" s="228"/>
      <c r="RFQ34" s="228"/>
      <c r="RFR34" s="228"/>
      <c r="RFS34" s="228"/>
      <c r="RFT34" s="228"/>
      <c r="RFU34" s="228"/>
      <c r="RFV34" s="228"/>
      <c r="RFW34" s="228"/>
      <c r="RFX34" s="228"/>
      <c r="RFY34" s="228"/>
      <c r="RFZ34" s="228"/>
      <c r="RGA34" s="228"/>
      <c r="RGB34" s="228"/>
      <c r="RGC34" s="228"/>
      <c r="RGD34" s="228"/>
      <c r="RGE34" s="228"/>
      <c r="RGF34" s="228"/>
      <c r="RGG34" s="228"/>
      <c r="RGH34" s="228"/>
      <c r="RGI34" s="228"/>
      <c r="RGJ34" s="228"/>
      <c r="RGK34" s="228"/>
      <c r="RGL34" s="228"/>
      <c r="RGM34" s="228"/>
      <c r="RGN34" s="228"/>
      <c r="RGO34" s="228"/>
      <c r="RGP34" s="228"/>
      <c r="RGQ34" s="228"/>
      <c r="RGR34" s="228"/>
      <c r="RGS34" s="228"/>
      <c r="RGT34" s="228"/>
      <c r="RGU34" s="228"/>
      <c r="RGV34" s="228"/>
      <c r="RGW34" s="228"/>
      <c r="RGX34" s="228"/>
      <c r="RGY34" s="228"/>
      <c r="RGZ34" s="228"/>
      <c r="RHA34" s="228"/>
      <c r="RHB34" s="228"/>
      <c r="RHC34" s="228"/>
      <c r="RHD34" s="228"/>
      <c r="RHE34" s="228"/>
      <c r="RHF34" s="228"/>
      <c r="RHG34" s="228"/>
      <c r="RHH34" s="228"/>
      <c r="RHI34" s="228"/>
      <c r="RHJ34" s="228"/>
      <c r="RHK34" s="228"/>
      <c r="RHL34" s="228"/>
      <c r="RHM34" s="228"/>
      <c r="RHN34" s="228"/>
      <c r="RHO34" s="228"/>
      <c r="RHP34" s="228"/>
      <c r="RHQ34" s="228"/>
      <c r="RHR34" s="228"/>
      <c r="RHS34" s="228"/>
      <c r="RHT34" s="228"/>
      <c r="RHU34" s="228"/>
      <c r="RHV34" s="228"/>
      <c r="RHW34" s="228"/>
      <c r="RHX34" s="228"/>
      <c r="RHY34" s="228"/>
      <c r="RHZ34" s="228"/>
      <c r="RIA34" s="228"/>
      <c r="RIB34" s="228"/>
      <c r="RIC34" s="228"/>
      <c r="RID34" s="228"/>
      <c r="RIE34" s="228"/>
      <c r="RIF34" s="228"/>
      <c r="RIG34" s="228"/>
      <c r="RIH34" s="228"/>
      <c r="RII34" s="228"/>
      <c r="RIJ34" s="228"/>
      <c r="RIK34" s="228"/>
      <c r="RIL34" s="228"/>
      <c r="RIM34" s="228"/>
      <c r="RIN34" s="228"/>
      <c r="RIO34" s="228"/>
      <c r="RIP34" s="228"/>
      <c r="RIQ34" s="228"/>
      <c r="RIR34" s="228"/>
      <c r="RIS34" s="228"/>
      <c r="RIT34" s="228"/>
      <c r="RIU34" s="228"/>
      <c r="RIV34" s="228"/>
      <c r="RIW34" s="228"/>
      <c r="RIX34" s="228"/>
      <c r="RIY34" s="228"/>
      <c r="RIZ34" s="228"/>
      <c r="RJA34" s="228"/>
      <c r="RJB34" s="228"/>
      <c r="RJC34" s="228"/>
      <c r="RJD34" s="228"/>
      <c r="RJE34" s="228"/>
      <c r="RJF34" s="228"/>
      <c r="RJG34" s="228"/>
      <c r="RJH34" s="228"/>
      <c r="RJI34" s="228"/>
      <c r="RJJ34" s="228"/>
      <c r="RJK34" s="228"/>
      <c r="RJL34" s="228"/>
      <c r="RJM34" s="228"/>
      <c r="RJN34" s="228"/>
      <c r="RJO34" s="228"/>
      <c r="RJP34" s="228"/>
      <c r="RJQ34" s="228"/>
      <c r="RJR34" s="228"/>
      <c r="RJS34" s="228"/>
      <c r="RJT34" s="228"/>
      <c r="RJU34" s="228"/>
      <c r="RJV34" s="228"/>
      <c r="RJW34" s="228"/>
      <c r="RJX34" s="228"/>
      <c r="RJY34" s="228"/>
      <c r="RJZ34" s="228"/>
      <c r="RKA34" s="228"/>
      <c r="RKB34" s="228"/>
      <c r="RKC34" s="228"/>
      <c r="RKD34" s="228"/>
      <c r="RKE34" s="228"/>
      <c r="RKF34" s="228"/>
      <c r="RKG34" s="228"/>
      <c r="RKH34" s="228"/>
      <c r="RKI34" s="228"/>
      <c r="RKJ34" s="228"/>
      <c r="RKK34" s="228"/>
      <c r="RKL34" s="228"/>
      <c r="RKM34" s="228"/>
      <c r="RKN34" s="228"/>
      <c r="RKO34" s="228"/>
      <c r="RKP34" s="228"/>
      <c r="RKQ34" s="228"/>
      <c r="RKR34" s="228"/>
      <c r="RKS34" s="228"/>
      <c r="RKT34" s="228"/>
      <c r="RKU34" s="228"/>
      <c r="RKV34" s="228"/>
      <c r="RKW34" s="228"/>
      <c r="RKX34" s="228"/>
      <c r="RKY34" s="228"/>
      <c r="RKZ34" s="228"/>
      <c r="RLA34" s="228"/>
      <c r="RLB34" s="228"/>
      <c r="RLC34" s="228"/>
      <c r="RLD34" s="228"/>
      <c r="RLE34" s="228"/>
      <c r="RLF34" s="228"/>
      <c r="RLG34" s="228"/>
      <c r="RLH34" s="228"/>
      <c r="RLI34" s="228"/>
      <c r="RLJ34" s="228"/>
      <c r="RLK34" s="228"/>
      <c r="RLL34" s="228"/>
      <c r="RLM34" s="228"/>
      <c r="RLN34" s="228"/>
      <c r="RLO34" s="228"/>
      <c r="RLP34" s="228"/>
      <c r="RLQ34" s="228"/>
      <c r="RLR34" s="228"/>
      <c r="RLS34" s="228"/>
      <c r="RLT34" s="228"/>
      <c r="RLU34" s="228"/>
      <c r="RLV34" s="228"/>
      <c r="RLW34" s="228"/>
      <c r="RLX34" s="228"/>
      <c r="RLY34" s="228"/>
      <c r="RLZ34" s="228"/>
      <c r="RMA34" s="228"/>
      <c r="RMB34" s="228"/>
      <c r="RMC34" s="228"/>
      <c r="RMD34" s="228"/>
      <c r="RME34" s="228"/>
      <c r="RMF34" s="228"/>
      <c r="RMG34" s="228"/>
      <c r="RMH34" s="228"/>
      <c r="RMI34" s="228"/>
      <c r="RMJ34" s="228"/>
      <c r="RMK34" s="228"/>
      <c r="RML34" s="228"/>
      <c r="RMM34" s="228"/>
      <c r="RMN34" s="228"/>
      <c r="RMO34" s="228"/>
      <c r="RMP34" s="228"/>
      <c r="RMQ34" s="228"/>
      <c r="RMR34" s="228"/>
      <c r="RMS34" s="228"/>
      <c r="RMT34" s="228"/>
      <c r="RMU34" s="228"/>
      <c r="RMV34" s="228"/>
      <c r="RMW34" s="228"/>
      <c r="RMX34" s="228"/>
      <c r="RMY34" s="228"/>
      <c r="RMZ34" s="228"/>
      <c r="RNA34" s="228"/>
      <c r="RNB34" s="228"/>
      <c r="RNC34" s="228"/>
      <c r="RND34" s="228"/>
      <c r="RNE34" s="228"/>
      <c r="RNF34" s="228"/>
      <c r="RNG34" s="228"/>
      <c r="RNH34" s="228"/>
      <c r="RNI34" s="228"/>
      <c r="RNJ34" s="228"/>
      <c r="RNK34" s="228"/>
      <c r="RNL34" s="228"/>
      <c r="RNM34" s="228"/>
      <c r="RNN34" s="228"/>
      <c r="RNO34" s="228"/>
      <c r="RNP34" s="228"/>
      <c r="RNQ34" s="228"/>
      <c r="RNR34" s="228"/>
      <c r="RNS34" s="228"/>
      <c r="RNT34" s="228"/>
      <c r="RNU34" s="228"/>
      <c r="RNV34" s="228"/>
      <c r="RNW34" s="228"/>
      <c r="RNX34" s="228"/>
      <c r="RNY34" s="228"/>
      <c r="RNZ34" s="228"/>
      <c r="ROA34" s="228"/>
      <c r="ROB34" s="228"/>
      <c r="ROC34" s="228"/>
      <c r="ROD34" s="228"/>
      <c r="ROE34" s="228"/>
      <c r="ROF34" s="228"/>
      <c r="ROG34" s="228"/>
      <c r="ROH34" s="228"/>
      <c r="ROI34" s="228"/>
      <c r="ROJ34" s="228"/>
      <c r="ROK34" s="228"/>
      <c r="ROL34" s="228"/>
      <c r="ROM34" s="228"/>
      <c r="RON34" s="228"/>
      <c r="ROO34" s="228"/>
      <c r="ROP34" s="228"/>
      <c r="ROQ34" s="228"/>
      <c r="ROR34" s="228"/>
      <c r="ROS34" s="228"/>
      <c r="ROT34" s="228"/>
      <c r="ROU34" s="228"/>
      <c r="ROV34" s="228"/>
      <c r="ROW34" s="228"/>
      <c r="ROX34" s="228"/>
      <c r="ROY34" s="228"/>
      <c r="ROZ34" s="228"/>
      <c r="RPA34" s="228"/>
      <c r="RPB34" s="228"/>
      <c r="RPC34" s="228"/>
      <c r="RPD34" s="228"/>
      <c r="RPE34" s="228"/>
      <c r="RPF34" s="228"/>
      <c r="RPG34" s="228"/>
      <c r="RPH34" s="228"/>
      <c r="RPI34" s="228"/>
      <c r="RPJ34" s="228"/>
      <c r="RPK34" s="228"/>
      <c r="RPL34" s="228"/>
      <c r="RPM34" s="228"/>
      <c r="RPN34" s="228"/>
      <c r="RPO34" s="228"/>
      <c r="RPP34" s="228"/>
      <c r="RPQ34" s="228"/>
      <c r="RPR34" s="228"/>
      <c r="RPS34" s="228"/>
      <c r="RPT34" s="228"/>
      <c r="RPU34" s="228"/>
      <c r="RPV34" s="228"/>
      <c r="RPW34" s="228"/>
      <c r="RPX34" s="228"/>
      <c r="RPY34" s="228"/>
      <c r="RPZ34" s="228"/>
      <c r="RQA34" s="228"/>
      <c r="RQB34" s="228"/>
      <c r="RQC34" s="228"/>
      <c r="RQD34" s="228"/>
      <c r="RQE34" s="228"/>
      <c r="RQF34" s="228"/>
      <c r="RQG34" s="228"/>
      <c r="RQH34" s="228"/>
      <c r="RQI34" s="228"/>
      <c r="RQJ34" s="228"/>
      <c r="RQK34" s="228"/>
      <c r="RQL34" s="228"/>
      <c r="RQM34" s="228"/>
      <c r="RQN34" s="228"/>
      <c r="RQO34" s="228"/>
      <c r="RQP34" s="228"/>
      <c r="RQQ34" s="228"/>
      <c r="RQR34" s="228"/>
      <c r="RQS34" s="228"/>
      <c r="RQT34" s="228"/>
      <c r="RQU34" s="228"/>
      <c r="RQV34" s="228"/>
      <c r="RQW34" s="228"/>
      <c r="RQX34" s="228"/>
      <c r="RQY34" s="228"/>
      <c r="RQZ34" s="228"/>
      <c r="RRA34" s="228"/>
      <c r="RRB34" s="228"/>
      <c r="RRC34" s="228"/>
      <c r="RRD34" s="228"/>
      <c r="RRE34" s="228"/>
      <c r="RRF34" s="228"/>
      <c r="RRG34" s="228"/>
      <c r="RRH34" s="228"/>
      <c r="RRI34" s="228"/>
      <c r="RRJ34" s="228"/>
      <c r="RRK34" s="228"/>
      <c r="RRL34" s="228"/>
      <c r="RRM34" s="228"/>
      <c r="RRN34" s="228"/>
      <c r="RRO34" s="228"/>
      <c r="RRP34" s="228"/>
      <c r="RRQ34" s="228"/>
      <c r="RRR34" s="228"/>
      <c r="RRS34" s="228"/>
      <c r="RRT34" s="228"/>
      <c r="RRU34" s="228"/>
      <c r="RRV34" s="228"/>
      <c r="RRW34" s="228"/>
      <c r="RRX34" s="228"/>
      <c r="RRY34" s="228"/>
      <c r="RRZ34" s="228"/>
      <c r="RSA34" s="228"/>
      <c r="RSB34" s="228"/>
      <c r="RSC34" s="228"/>
      <c r="RSD34" s="228"/>
      <c r="RSE34" s="228"/>
      <c r="RSF34" s="228"/>
      <c r="RSG34" s="228"/>
      <c r="RSH34" s="228"/>
      <c r="RSI34" s="228"/>
      <c r="RSJ34" s="228"/>
      <c r="RSK34" s="228"/>
      <c r="RSL34" s="228"/>
      <c r="RSM34" s="228"/>
      <c r="RSN34" s="228"/>
      <c r="RSO34" s="228"/>
      <c r="RSP34" s="228"/>
      <c r="RSQ34" s="228"/>
      <c r="RSR34" s="228"/>
      <c r="RSS34" s="228"/>
      <c r="RST34" s="228"/>
      <c r="RSU34" s="228"/>
      <c r="RSV34" s="228"/>
      <c r="RSW34" s="228"/>
      <c r="RSX34" s="228"/>
      <c r="RSY34" s="228"/>
      <c r="RSZ34" s="228"/>
      <c r="RTA34" s="228"/>
      <c r="RTB34" s="228"/>
      <c r="RTC34" s="228"/>
      <c r="RTD34" s="228"/>
      <c r="RTE34" s="228"/>
      <c r="RTF34" s="228"/>
      <c r="RTG34" s="228"/>
      <c r="RTH34" s="228"/>
      <c r="RTI34" s="228"/>
      <c r="RTJ34" s="228"/>
      <c r="RTK34" s="228"/>
      <c r="RTL34" s="228"/>
      <c r="RTM34" s="228"/>
      <c r="RTN34" s="228"/>
      <c r="RTO34" s="228"/>
      <c r="RTP34" s="228"/>
      <c r="RTQ34" s="228"/>
      <c r="RTR34" s="228"/>
      <c r="RTS34" s="228"/>
      <c r="RTT34" s="228"/>
      <c r="RTU34" s="228"/>
      <c r="RTV34" s="228"/>
      <c r="RTW34" s="228"/>
      <c r="RTX34" s="228"/>
      <c r="RTY34" s="228"/>
      <c r="RTZ34" s="228"/>
      <c r="RUA34" s="228"/>
      <c r="RUB34" s="228"/>
      <c r="RUC34" s="228"/>
      <c r="RUD34" s="228"/>
      <c r="RUE34" s="228"/>
      <c r="RUF34" s="228"/>
      <c r="RUG34" s="228"/>
      <c r="RUH34" s="228"/>
      <c r="RUI34" s="228"/>
      <c r="RUJ34" s="228"/>
      <c r="RUK34" s="228"/>
      <c r="RUL34" s="228"/>
      <c r="RUM34" s="228"/>
      <c r="RUN34" s="228"/>
      <c r="RUO34" s="228"/>
      <c r="RUP34" s="228"/>
      <c r="RUQ34" s="228"/>
      <c r="RUR34" s="228"/>
      <c r="RUS34" s="228"/>
      <c r="RUT34" s="228"/>
      <c r="RUU34" s="228"/>
      <c r="RUV34" s="228"/>
      <c r="RUW34" s="228"/>
      <c r="RUX34" s="228"/>
      <c r="RUY34" s="228"/>
      <c r="RUZ34" s="228"/>
      <c r="RVA34" s="228"/>
      <c r="RVB34" s="228"/>
      <c r="RVC34" s="228"/>
      <c r="RVD34" s="228"/>
      <c r="RVE34" s="228"/>
      <c r="RVF34" s="228"/>
      <c r="RVG34" s="228"/>
      <c r="RVH34" s="228"/>
      <c r="RVI34" s="228"/>
      <c r="RVJ34" s="228"/>
      <c r="RVK34" s="228"/>
      <c r="RVL34" s="228"/>
      <c r="RVM34" s="228"/>
      <c r="RVN34" s="228"/>
      <c r="RVO34" s="228"/>
      <c r="RVP34" s="228"/>
      <c r="RVQ34" s="228"/>
      <c r="RVR34" s="228"/>
      <c r="RVS34" s="228"/>
      <c r="RVT34" s="228"/>
      <c r="RVU34" s="228"/>
      <c r="RVV34" s="228"/>
      <c r="RVW34" s="228"/>
      <c r="RVX34" s="228"/>
      <c r="RVY34" s="228"/>
      <c r="RVZ34" s="228"/>
      <c r="RWA34" s="228"/>
      <c r="RWB34" s="228"/>
      <c r="RWC34" s="228"/>
      <c r="RWD34" s="228"/>
      <c r="RWE34" s="228"/>
      <c r="RWF34" s="228"/>
      <c r="RWG34" s="228"/>
      <c r="RWH34" s="228"/>
      <c r="RWI34" s="228"/>
      <c r="RWJ34" s="228"/>
      <c r="RWK34" s="228"/>
      <c r="RWL34" s="228"/>
      <c r="RWM34" s="228"/>
      <c r="RWN34" s="228"/>
      <c r="RWO34" s="228"/>
      <c r="RWP34" s="228"/>
      <c r="RWQ34" s="228"/>
      <c r="RWR34" s="228"/>
      <c r="RWS34" s="228"/>
      <c r="RWT34" s="228"/>
      <c r="RWU34" s="228"/>
      <c r="RWV34" s="228"/>
      <c r="RWW34" s="228"/>
      <c r="RWX34" s="228"/>
      <c r="RWY34" s="228"/>
      <c r="RWZ34" s="228"/>
      <c r="RXA34" s="228"/>
      <c r="RXB34" s="228"/>
      <c r="RXC34" s="228"/>
      <c r="RXD34" s="228"/>
      <c r="RXE34" s="228"/>
      <c r="RXF34" s="228"/>
      <c r="RXG34" s="228"/>
      <c r="RXH34" s="228"/>
      <c r="RXI34" s="228"/>
      <c r="RXJ34" s="228"/>
      <c r="RXK34" s="228"/>
      <c r="RXL34" s="228"/>
      <c r="RXM34" s="228"/>
      <c r="RXN34" s="228"/>
      <c r="RXO34" s="228"/>
      <c r="RXP34" s="228"/>
      <c r="RXQ34" s="228"/>
      <c r="RXR34" s="228"/>
      <c r="RXS34" s="228"/>
      <c r="RXT34" s="228"/>
      <c r="RXU34" s="228"/>
      <c r="RXV34" s="228"/>
      <c r="RXW34" s="228"/>
      <c r="RXX34" s="228"/>
      <c r="RXY34" s="228"/>
      <c r="RXZ34" s="228"/>
      <c r="RYA34" s="228"/>
      <c r="RYB34" s="228"/>
      <c r="RYC34" s="228"/>
      <c r="RYD34" s="228"/>
      <c r="RYE34" s="228"/>
      <c r="RYF34" s="228"/>
      <c r="RYG34" s="228"/>
      <c r="RYH34" s="228"/>
      <c r="RYI34" s="228"/>
      <c r="RYJ34" s="228"/>
      <c r="RYK34" s="228"/>
      <c r="RYL34" s="228"/>
      <c r="RYM34" s="228"/>
      <c r="RYN34" s="228"/>
      <c r="RYO34" s="228"/>
      <c r="RYP34" s="228"/>
      <c r="RYQ34" s="228"/>
      <c r="RYR34" s="228"/>
      <c r="RYS34" s="228"/>
      <c r="RYT34" s="228"/>
      <c r="RYU34" s="228"/>
      <c r="RYV34" s="228"/>
      <c r="RYW34" s="228"/>
      <c r="RYX34" s="228"/>
      <c r="RYY34" s="228"/>
      <c r="RYZ34" s="228"/>
      <c r="RZA34" s="228"/>
      <c r="RZB34" s="228"/>
      <c r="RZC34" s="228"/>
      <c r="RZD34" s="228"/>
      <c r="RZE34" s="228"/>
      <c r="RZF34" s="228"/>
      <c r="RZG34" s="228"/>
      <c r="RZH34" s="228"/>
      <c r="RZI34" s="228"/>
      <c r="RZJ34" s="228"/>
      <c r="RZK34" s="228"/>
      <c r="RZL34" s="228"/>
      <c r="RZM34" s="228"/>
      <c r="RZN34" s="228"/>
      <c r="RZO34" s="228"/>
      <c r="RZP34" s="228"/>
      <c r="RZQ34" s="228"/>
      <c r="RZR34" s="228"/>
      <c r="RZS34" s="228"/>
      <c r="RZT34" s="228"/>
      <c r="RZU34" s="228"/>
      <c r="RZV34" s="228"/>
      <c r="RZW34" s="228"/>
      <c r="RZX34" s="228"/>
      <c r="RZY34" s="228"/>
      <c r="RZZ34" s="228"/>
      <c r="SAA34" s="228"/>
      <c r="SAB34" s="228"/>
      <c r="SAC34" s="228"/>
      <c r="SAD34" s="228"/>
      <c r="SAE34" s="228"/>
      <c r="SAF34" s="228"/>
      <c r="SAG34" s="228"/>
      <c r="SAH34" s="228"/>
      <c r="SAI34" s="228"/>
      <c r="SAJ34" s="228"/>
      <c r="SAK34" s="228"/>
      <c r="SAL34" s="228"/>
      <c r="SAM34" s="228"/>
      <c r="SAN34" s="228"/>
      <c r="SAO34" s="228"/>
      <c r="SAP34" s="228"/>
      <c r="SAQ34" s="228"/>
      <c r="SAR34" s="228"/>
      <c r="SAS34" s="228"/>
      <c r="SAT34" s="228"/>
      <c r="SAU34" s="228"/>
      <c r="SAV34" s="228"/>
      <c r="SAW34" s="228"/>
      <c r="SAX34" s="228"/>
      <c r="SAY34" s="228"/>
      <c r="SAZ34" s="228"/>
      <c r="SBA34" s="228"/>
      <c r="SBB34" s="228"/>
      <c r="SBC34" s="228"/>
      <c r="SBD34" s="228"/>
      <c r="SBE34" s="228"/>
      <c r="SBF34" s="228"/>
      <c r="SBG34" s="228"/>
      <c r="SBH34" s="228"/>
      <c r="SBI34" s="228"/>
      <c r="SBJ34" s="228"/>
      <c r="SBK34" s="228"/>
      <c r="SBL34" s="228"/>
      <c r="SBM34" s="228"/>
      <c r="SBN34" s="228"/>
      <c r="SBO34" s="228"/>
      <c r="SBP34" s="228"/>
      <c r="SBQ34" s="228"/>
      <c r="SBR34" s="228"/>
      <c r="SBS34" s="228"/>
      <c r="SBT34" s="228"/>
      <c r="SBU34" s="228"/>
      <c r="SBV34" s="228"/>
      <c r="SBW34" s="228"/>
      <c r="SBX34" s="228"/>
      <c r="SBY34" s="228"/>
      <c r="SBZ34" s="228"/>
      <c r="SCA34" s="228"/>
      <c r="SCB34" s="228"/>
      <c r="SCC34" s="228"/>
      <c r="SCD34" s="228"/>
      <c r="SCE34" s="228"/>
      <c r="SCF34" s="228"/>
      <c r="SCG34" s="228"/>
      <c r="SCH34" s="228"/>
      <c r="SCI34" s="228"/>
      <c r="SCJ34" s="228"/>
      <c r="SCK34" s="228"/>
      <c r="SCL34" s="228"/>
      <c r="SCM34" s="228"/>
      <c r="SCN34" s="228"/>
      <c r="SCO34" s="228"/>
      <c r="SCP34" s="228"/>
      <c r="SCQ34" s="228"/>
      <c r="SCR34" s="228"/>
      <c r="SCS34" s="228"/>
      <c r="SCT34" s="228"/>
      <c r="SCU34" s="228"/>
      <c r="SCV34" s="228"/>
      <c r="SCW34" s="228"/>
      <c r="SCX34" s="228"/>
      <c r="SCY34" s="228"/>
      <c r="SCZ34" s="228"/>
      <c r="SDA34" s="228"/>
      <c r="SDB34" s="228"/>
      <c r="SDC34" s="228"/>
      <c r="SDD34" s="228"/>
      <c r="SDE34" s="228"/>
      <c r="SDF34" s="228"/>
      <c r="SDG34" s="228"/>
      <c r="SDH34" s="228"/>
      <c r="SDI34" s="228"/>
      <c r="SDJ34" s="228"/>
      <c r="SDK34" s="228"/>
      <c r="SDL34" s="228"/>
      <c r="SDM34" s="228"/>
      <c r="SDN34" s="228"/>
      <c r="SDO34" s="228"/>
      <c r="SDP34" s="228"/>
      <c r="SDQ34" s="228"/>
      <c r="SDR34" s="228"/>
      <c r="SDS34" s="228"/>
      <c r="SDT34" s="228"/>
      <c r="SDU34" s="228"/>
      <c r="SDV34" s="228"/>
      <c r="SDW34" s="228"/>
      <c r="SDX34" s="228"/>
      <c r="SDY34" s="228"/>
      <c r="SDZ34" s="228"/>
      <c r="SEA34" s="228"/>
      <c r="SEB34" s="228"/>
      <c r="SEC34" s="228"/>
      <c r="SED34" s="228"/>
      <c r="SEE34" s="228"/>
      <c r="SEF34" s="228"/>
      <c r="SEG34" s="228"/>
      <c r="SEH34" s="228"/>
      <c r="SEI34" s="228"/>
      <c r="SEJ34" s="228"/>
      <c r="SEK34" s="228"/>
      <c r="SEL34" s="228"/>
      <c r="SEM34" s="228"/>
      <c r="SEN34" s="228"/>
      <c r="SEO34" s="228"/>
      <c r="SEP34" s="228"/>
      <c r="SEQ34" s="228"/>
      <c r="SER34" s="228"/>
      <c r="SES34" s="228"/>
      <c r="SET34" s="228"/>
      <c r="SEU34" s="228"/>
      <c r="SEV34" s="228"/>
      <c r="SEW34" s="228"/>
      <c r="SEX34" s="228"/>
      <c r="SEY34" s="228"/>
      <c r="SEZ34" s="228"/>
      <c r="SFA34" s="228"/>
      <c r="SFB34" s="228"/>
      <c r="SFC34" s="228"/>
      <c r="SFD34" s="228"/>
      <c r="SFE34" s="228"/>
      <c r="SFF34" s="228"/>
      <c r="SFG34" s="228"/>
      <c r="SFH34" s="228"/>
      <c r="SFI34" s="228"/>
      <c r="SFJ34" s="228"/>
      <c r="SFK34" s="228"/>
      <c r="SFL34" s="228"/>
      <c r="SFM34" s="228"/>
      <c r="SFN34" s="228"/>
      <c r="SFO34" s="228"/>
      <c r="SFP34" s="228"/>
      <c r="SFQ34" s="228"/>
      <c r="SFR34" s="228"/>
      <c r="SFS34" s="228"/>
      <c r="SFT34" s="228"/>
      <c r="SFU34" s="228"/>
      <c r="SFV34" s="228"/>
      <c r="SFW34" s="228"/>
      <c r="SFX34" s="228"/>
      <c r="SFY34" s="228"/>
      <c r="SFZ34" s="228"/>
      <c r="SGA34" s="228"/>
      <c r="SGB34" s="228"/>
      <c r="SGC34" s="228"/>
      <c r="SGD34" s="228"/>
      <c r="SGE34" s="228"/>
      <c r="SGF34" s="228"/>
      <c r="SGG34" s="228"/>
      <c r="SGH34" s="228"/>
      <c r="SGI34" s="228"/>
      <c r="SGJ34" s="228"/>
      <c r="SGK34" s="228"/>
      <c r="SGL34" s="228"/>
      <c r="SGM34" s="228"/>
      <c r="SGN34" s="228"/>
      <c r="SGO34" s="228"/>
      <c r="SGP34" s="228"/>
      <c r="SGQ34" s="228"/>
      <c r="SGR34" s="228"/>
      <c r="SGS34" s="228"/>
      <c r="SGT34" s="228"/>
      <c r="SGU34" s="228"/>
      <c r="SGV34" s="228"/>
      <c r="SGW34" s="228"/>
      <c r="SGX34" s="228"/>
      <c r="SGY34" s="228"/>
      <c r="SGZ34" s="228"/>
      <c r="SHA34" s="228"/>
      <c r="SHB34" s="228"/>
      <c r="SHC34" s="228"/>
      <c r="SHD34" s="228"/>
      <c r="SHE34" s="228"/>
      <c r="SHF34" s="228"/>
      <c r="SHG34" s="228"/>
      <c r="SHH34" s="228"/>
      <c r="SHI34" s="228"/>
      <c r="SHJ34" s="228"/>
      <c r="SHK34" s="228"/>
      <c r="SHL34" s="228"/>
      <c r="SHM34" s="228"/>
      <c r="SHN34" s="228"/>
      <c r="SHO34" s="228"/>
      <c r="SHP34" s="228"/>
      <c r="SHQ34" s="228"/>
      <c r="SHR34" s="228"/>
      <c r="SHS34" s="228"/>
      <c r="SHT34" s="228"/>
      <c r="SHU34" s="228"/>
      <c r="SHV34" s="228"/>
      <c r="SHW34" s="228"/>
      <c r="SHX34" s="228"/>
      <c r="SHY34" s="228"/>
      <c r="SHZ34" s="228"/>
      <c r="SIA34" s="228"/>
      <c r="SIB34" s="228"/>
      <c r="SIC34" s="228"/>
      <c r="SID34" s="228"/>
      <c r="SIE34" s="228"/>
      <c r="SIF34" s="228"/>
      <c r="SIG34" s="228"/>
      <c r="SIH34" s="228"/>
      <c r="SII34" s="228"/>
      <c r="SIJ34" s="228"/>
      <c r="SIK34" s="228"/>
      <c r="SIL34" s="228"/>
      <c r="SIM34" s="228"/>
      <c r="SIN34" s="228"/>
      <c r="SIO34" s="228"/>
      <c r="SIP34" s="228"/>
      <c r="SIQ34" s="228"/>
      <c r="SIR34" s="228"/>
      <c r="SIS34" s="228"/>
      <c r="SIT34" s="228"/>
      <c r="SIU34" s="228"/>
      <c r="SIV34" s="228"/>
      <c r="SIW34" s="228"/>
      <c r="SIX34" s="228"/>
      <c r="SIY34" s="228"/>
      <c r="SIZ34" s="228"/>
      <c r="SJA34" s="228"/>
      <c r="SJB34" s="228"/>
      <c r="SJC34" s="228"/>
      <c r="SJD34" s="228"/>
      <c r="SJE34" s="228"/>
      <c r="SJF34" s="228"/>
      <c r="SJG34" s="228"/>
      <c r="SJH34" s="228"/>
      <c r="SJI34" s="228"/>
      <c r="SJJ34" s="228"/>
      <c r="SJK34" s="228"/>
      <c r="SJL34" s="228"/>
      <c r="SJM34" s="228"/>
      <c r="SJN34" s="228"/>
      <c r="SJO34" s="228"/>
      <c r="SJP34" s="228"/>
      <c r="SJQ34" s="228"/>
      <c r="SJR34" s="228"/>
      <c r="SJS34" s="228"/>
      <c r="SJT34" s="228"/>
      <c r="SJU34" s="228"/>
      <c r="SJV34" s="228"/>
      <c r="SJW34" s="228"/>
      <c r="SJX34" s="228"/>
      <c r="SJY34" s="228"/>
      <c r="SJZ34" s="228"/>
      <c r="SKA34" s="228"/>
      <c r="SKB34" s="228"/>
      <c r="SKC34" s="228"/>
      <c r="SKD34" s="228"/>
      <c r="SKE34" s="228"/>
      <c r="SKF34" s="228"/>
      <c r="SKG34" s="228"/>
      <c r="SKH34" s="228"/>
      <c r="SKI34" s="228"/>
      <c r="SKJ34" s="228"/>
      <c r="SKK34" s="228"/>
      <c r="SKL34" s="228"/>
      <c r="SKM34" s="228"/>
      <c r="SKN34" s="228"/>
      <c r="SKO34" s="228"/>
      <c r="SKP34" s="228"/>
      <c r="SKQ34" s="228"/>
      <c r="SKR34" s="228"/>
      <c r="SKS34" s="228"/>
      <c r="SKT34" s="228"/>
      <c r="SKU34" s="228"/>
      <c r="SKV34" s="228"/>
      <c r="SKW34" s="228"/>
      <c r="SKX34" s="228"/>
      <c r="SKY34" s="228"/>
      <c r="SKZ34" s="228"/>
      <c r="SLA34" s="228"/>
      <c r="SLB34" s="228"/>
      <c r="SLC34" s="228"/>
      <c r="SLD34" s="228"/>
      <c r="SLE34" s="228"/>
      <c r="SLF34" s="228"/>
      <c r="SLG34" s="228"/>
      <c r="SLH34" s="228"/>
      <c r="SLI34" s="228"/>
      <c r="SLJ34" s="228"/>
      <c r="SLK34" s="228"/>
      <c r="SLL34" s="228"/>
      <c r="SLM34" s="228"/>
      <c r="SLN34" s="228"/>
      <c r="SLO34" s="228"/>
      <c r="SLP34" s="228"/>
      <c r="SLQ34" s="228"/>
      <c r="SLR34" s="228"/>
      <c r="SLS34" s="228"/>
      <c r="SLT34" s="228"/>
      <c r="SLU34" s="228"/>
      <c r="SLV34" s="228"/>
      <c r="SLW34" s="228"/>
      <c r="SLX34" s="228"/>
      <c r="SLY34" s="228"/>
      <c r="SLZ34" s="228"/>
      <c r="SMA34" s="228"/>
      <c r="SMB34" s="228"/>
      <c r="SMC34" s="228"/>
      <c r="SMD34" s="228"/>
      <c r="SME34" s="228"/>
      <c r="SMF34" s="228"/>
      <c r="SMG34" s="228"/>
      <c r="SMH34" s="228"/>
      <c r="SMI34" s="228"/>
      <c r="SMJ34" s="228"/>
      <c r="SMK34" s="228"/>
      <c r="SML34" s="228"/>
      <c r="SMM34" s="228"/>
      <c r="SMN34" s="228"/>
      <c r="SMO34" s="228"/>
      <c r="SMP34" s="228"/>
      <c r="SMQ34" s="228"/>
      <c r="SMR34" s="228"/>
      <c r="SMS34" s="228"/>
      <c r="SMT34" s="228"/>
      <c r="SMU34" s="228"/>
      <c r="SMV34" s="228"/>
      <c r="SMW34" s="228"/>
      <c r="SMX34" s="228"/>
      <c r="SMY34" s="228"/>
      <c r="SMZ34" s="228"/>
      <c r="SNA34" s="228"/>
      <c r="SNB34" s="228"/>
      <c r="SNC34" s="228"/>
      <c r="SND34" s="228"/>
      <c r="SNE34" s="228"/>
      <c r="SNF34" s="228"/>
      <c r="SNG34" s="228"/>
      <c r="SNH34" s="228"/>
      <c r="SNI34" s="228"/>
      <c r="SNJ34" s="228"/>
      <c r="SNK34" s="228"/>
      <c r="SNL34" s="228"/>
      <c r="SNM34" s="228"/>
      <c r="SNN34" s="228"/>
      <c r="SNO34" s="228"/>
      <c r="SNP34" s="228"/>
      <c r="SNQ34" s="228"/>
      <c r="SNR34" s="228"/>
      <c r="SNS34" s="228"/>
      <c r="SNT34" s="228"/>
      <c r="SNU34" s="228"/>
      <c r="SNV34" s="228"/>
      <c r="SNW34" s="228"/>
      <c r="SNX34" s="228"/>
      <c r="SNY34" s="228"/>
      <c r="SNZ34" s="228"/>
      <c r="SOA34" s="228"/>
      <c r="SOB34" s="228"/>
      <c r="SOC34" s="228"/>
      <c r="SOD34" s="228"/>
      <c r="SOE34" s="228"/>
      <c r="SOF34" s="228"/>
      <c r="SOG34" s="228"/>
      <c r="SOH34" s="228"/>
      <c r="SOI34" s="228"/>
      <c r="SOJ34" s="228"/>
      <c r="SOK34" s="228"/>
      <c r="SOL34" s="228"/>
      <c r="SOM34" s="228"/>
      <c r="SON34" s="228"/>
      <c r="SOO34" s="228"/>
      <c r="SOP34" s="228"/>
      <c r="SOQ34" s="228"/>
      <c r="SOR34" s="228"/>
      <c r="SOS34" s="228"/>
      <c r="SOT34" s="228"/>
      <c r="SOU34" s="228"/>
      <c r="SOV34" s="228"/>
      <c r="SOW34" s="228"/>
      <c r="SOX34" s="228"/>
      <c r="SOY34" s="228"/>
      <c r="SOZ34" s="228"/>
      <c r="SPA34" s="228"/>
      <c r="SPB34" s="228"/>
      <c r="SPC34" s="228"/>
      <c r="SPD34" s="228"/>
      <c r="SPE34" s="228"/>
      <c r="SPF34" s="228"/>
      <c r="SPG34" s="228"/>
      <c r="SPH34" s="228"/>
      <c r="SPI34" s="228"/>
      <c r="SPJ34" s="228"/>
      <c r="SPK34" s="228"/>
      <c r="SPL34" s="228"/>
      <c r="SPM34" s="228"/>
      <c r="SPN34" s="228"/>
      <c r="SPO34" s="228"/>
      <c r="SPP34" s="228"/>
      <c r="SPQ34" s="228"/>
      <c r="SPR34" s="228"/>
      <c r="SPS34" s="228"/>
      <c r="SPT34" s="228"/>
      <c r="SPU34" s="228"/>
      <c r="SPV34" s="228"/>
      <c r="SPW34" s="228"/>
      <c r="SPX34" s="228"/>
      <c r="SPY34" s="228"/>
      <c r="SPZ34" s="228"/>
      <c r="SQA34" s="228"/>
      <c r="SQB34" s="228"/>
      <c r="SQC34" s="228"/>
      <c r="SQD34" s="228"/>
      <c r="SQE34" s="228"/>
      <c r="SQF34" s="228"/>
      <c r="SQG34" s="228"/>
      <c r="SQH34" s="228"/>
      <c r="SQI34" s="228"/>
      <c r="SQJ34" s="228"/>
      <c r="SQK34" s="228"/>
      <c r="SQL34" s="228"/>
      <c r="SQM34" s="228"/>
      <c r="SQN34" s="228"/>
      <c r="SQO34" s="228"/>
      <c r="SQP34" s="228"/>
      <c r="SQQ34" s="228"/>
      <c r="SQR34" s="228"/>
      <c r="SQS34" s="228"/>
      <c r="SQT34" s="228"/>
      <c r="SQU34" s="228"/>
      <c r="SQV34" s="228"/>
      <c r="SQW34" s="228"/>
      <c r="SQX34" s="228"/>
      <c r="SQY34" s="228"/>
      <c r="SQZ34" s="228"/>
      <c r="SRA34" s="228"/>
      <c r="SRB34" s="228"/>
      <c r="SRC34" s="228"/>
      <c r="SRD34" s="228"/>
      <c r="SRE34" s="228"/>
      <c r="SRF34" s="228"/>
      <c r="SRG34" s="228"/>
      <c r="SRH34" s="228"/>
      <c r="SRI34" s="228"/>
      <c r="SRJ34" s="228"/>
      <c r="SRK34" s="228"/>
      <c r="SRL34" s="228"/>
      <c r="SRM34" s="228"/>
      <c r="SRN34" s="228"/>
      <c r="SRO34" s="228"/>
      <c r="SRP34" s="228"/>
      <c r="SRQ34" s="228"/>
      <c r="SRR34" s="228"/>
      <c r="SRS34" s="228"/>
      <c r="SRT34" s="228"/>
      <c r="SRU34" s="228"/>
      <c r="SRV34" s="228"/>
      <c r="SRW34" s="228"/>
      <c r="SRX34" s="228"/>
      <c r="SRY34" s="228"/>
      <c r="SRZ34" s="228"/>
      <c r="SSA34" s="228"/>
      <c r="SSB34" s="228"/>
      <c r="SSC34" s="228"/>
      <c r="SSD34" s="228"/>
      <c r="SSE34" s="228"/>
      <c r="SSF34" s="228"/>
      <c r="SSG34" s="228"/>
      <c r="SSH34" s="228"/>
      <c r="SSI34" s="228"/>
      <c r="SSJ34" s="228"/>
      <c r="SSK34" s="228"/>
      <c r="SSL34" s="228"/>
      <c r="SSM34" s="228"/>
      <c r="SSN34" s="228"/>
      <c r="SSO34" s="228"/>
      <c r="SSP34" s="228"/>
      <c r="SSQ34" s="228"/>
      <c r="SSR34" s="228"/>
      <c r="SSS34" s="228"/>
      <c r="SST34" s="228"/>
      <c r="SSU34" s="228"/>
      <c r="SSV34" s="228"/>
      <c r="SSW34" s="228"/>
      <c r="SSX34" s="228"/>
      <c r="SSY34" s="228"/>
      <c r="SSZ34" s="228"/>
      <c r="STA34" s="228"/>
      <c r="STB34" s="228"/>
      <c r="STC34" s="228"/>
      <c r="STD34" s="228"/>
      <c r="STE34" s="228"/>
      <c r="STF34" s="228"/>
      <c r="STG34" s="228"/>
      <c r="STH34" s="228"/>
      <c r="STI34" s="228"/>
      <c r="STJ34" s="228"/>
      <c r="STK34" s="228"/>
      <c r="STL34" s="228"/>
      <c r="STM34" s="228"/>
      <c r="STN34" s="228"/>
      <c r="STO34" s="228"/>
      <c r="STP34" s="228"/>
      <c r="STQ34" s="228"/>
      <c r="STR34" s="228"/>
      <c r="STS34" s="228"/>
      <c r="STT34" s="228"/>
      <c r="STU34" s="228"/>
      <c r="STV34" s="228"/>
      <c r="STW34" s="228"/>
      <c r="STX34" s="228"/>
      <c r="STY34" s="228"/>
      <c r="STZ34" s="228"/>
      <c r="SUA34" s="228"/>
      <c r="SUB34" s="228"/>
      <c r="SUC34" s="228"/>
      <c r="SUD34" s="228"/>
      <c r="SUE34" s="228"/>
      <c r="SUF34" s="228"/>
      <c r="SUG34" s="228"/>
      <c r="SUH34" s="228"/>
      <c r="SUI34" s="228"/>
      <c r="SUJ34" s="228"/>
      <c r="SUK34" s="228"/>
      <c r="SUL34" s="228"/>
      <c r="SUM34" s="228"/>
      <c r="SUN34" s="228"/>
      <c r="SUO34" s="228"/>
      <c r="SUP34" s="228"/>
      <c r="SUQ34" s="228"/>
      <c r="SUR34" s="228"/>
      <c r="SUS34" s="228"/>
      <c r="SUT34" s="228"/>
      <c r="SUU34" s="228"/>
      <c r="SUV34" s="228"/>
      <c r="SUW34" s="228"/>
      <c r="SUX34" s="228"/>
      <c r="SUY34" s="228"/>
      <c r="SUZ34" s="228"/>
      <c r="SVA34" s="228"/>
      <c r="SVB34" s="228"/>
      <c r="SVC34" s="228"/>
      <c r="SVD34" s="228"/>
      <c r="SVE34" s="228"/>
      <c r="SVF34" s="228"/>
      <c r="SVG34" s="228"/>
      <c r="SVH34" s="228"/>
      <c r="SVI34" s="228"/>
      <c r="SVJ34" s="228"/>
      <c r="SVK34" s="228"/>
      <c r="SVL34" s="228"/>
      <c r="SVM34" s="228"/>
      <c r="SVN34" s="228"/>
      <c r="SVO34" s="228"/>
      <c r="SVP34" s="228"/>
      <c r="SVQ34" s="228"/>
      <c r="SVR34" s="228"/>
      <c r="SVS34" s="228"/>
      <c r="SVT34" s="228"/>
      <c r="SVU34" s="228"/>
      <c r="SVV34" s="228"/>
      <c r="SVW34" s="228"/>
      <c r="SVX34" s="228"/>
      <c r="SVY34" s="228"/>
      <c r="SVZ34" s="228"/>
      <c r="SWA34" s="228"/>
      <c r="SWB34" s="228"/>
      <c r="SWC34" s="228"/>
      <c r="SWD34" s="228"/>
      <c r="SWE34" s="228"/>
      <c r="SWF34" s="228"/>
      <c r="SWG34" s="228"/>
      <c r="SWH34" s="228"/>
      <c r="SWI34" s="228"/>
      <c r="SWJ34" s="228"/>
      <c r="SWK34" s="228"/>
      <c r="SWL34" s="228"/>
      <c r="SWM34" s="228"/>
      <c r="SWN34" s="228"/>
      <c r="SWO34" s="228"/>
      <c r="SWP34" s="228"/>
      <c r="SWQ34" s="228"/>
      <c r="SWR34" s="228"/>
      <c r="SWS34" s="228"/>
      <c r="SWT34" s="228"/>
      <c r="SWU34" s="228"/>
      <c r="SWV34" s="228"/>
      <c r="SWW34" s="228"/>
      <c r="SWX34" s="228"/>
      <c r="SWY34" s="228"/>
      <c r="SWZ34" s="228"/>
      <c r="SXA34" s="228"/>
      <c r="SXB34" s="228"/>
      <c r="SXC34" s="228"/>
      <c r="SXD34" s="228"/>
      <c r="SXE34" s="228"/>
      <c r="SXF34" s="228"/>
      <c r="SXG34" s="228"/>
      <c r="SXH34" s="228"/>
      <c r="SXI34" s="228"/>
      <c r="SXJ34" s="228"/>
      <c r="SXK34" s="228"/>
      <c r="SXL34" s="228"/>
      <c r="SXM34" s="228"/>
      <c r="SXN34" s="228"/>
      <c r="SXO34" s="228"/>
      <c r="SXP34" s="228"/>
      <c r="SXQ34" s="228"/>
      <c r="SXR34" s="228"/>
      <c r="SXS34" s="228"/>
      <c r="SXT34" s="228"/>
      <c r="SXU34" s="228"/>
      <c r="SXV34" s="228"/>
      <c r="SXW34" s="228"/>
      <c r="SXX34" s="228"/>
      <c r="SXY34" s="228"/>
      <c r="SXZ34" s="228"/>
      <c r="SYA34" s="228"/>
      <c r="SYB34" s="228"/>
      <c r="SYC34" s="228"/>
      <c r="SYD34" s="228"/>
      <c r="SYE34" s="228"/>
      <c r="SYF34" s="228"/>
      <c r="SYG34" s="228"/>
      <c r="SYH34" s="228"/>
      <c r="SYI34" s="228"/>
      <c r="SYJ34" s="228"/>
      <c r="SYK34" s="228"/>
      <c r="SYL34" s="228"/>
      <c r="SYM34" s="228"/>
      <c r="SYN34" s="228"/>
      <c r="SYO34" s="228"/>
      <c r="SYP34" s="228"/>
      <c r="SYQ34" s="228"/>
      <c r="SYR34" s="228"/>
      <c r="SYS34" s="228"/>
      <c r="SYT34" s="228"/>
      <c r="SYU34" s="228"/>
      <c r="SYV34" s="228"/>
      <c r="SYW34" s="228"/>
      <c r="SYX34" s="228"/>
      <c r="SYY34" s="228"/>
      <c r="SYZ34" s="228"/>
      <c r="SZA34" s="228"/>
      <c r="SZB34" s="228"/>
      <c r="SZC34" s="228"/>
      <c r="SZD34" s="228"/>
      <c r="SZE34" s="228"/>
      <c r="SZF34" s="228"/>
      <c r="SZG34" s="228"/>
      <c r="SZH34" s="228"/>
      <c r="SZI34" s="228"/>
      <c r="SZJ34" s="228"/>
      <c r="SZK34" s="228"/>
      <c r="SZL34" s="228"/>
      <c r="SZM34" s="228"/>
      <c r="SZN34" s="228"/>
      <c r="SZO34" s="228"/>
      <c r="SZP34" s="228"/>
      <c r="SZQ34" s="228"/>
      <c r="SZR34" s="228"/>
      <c r="SZS34" s="228"/>
      <c r="SZT34" s="228"/>
      <c r="SZU34" s="228"/>
      <c r="SZV34" s="228"/>
      <c r="SZW34" s="228"/>
      <c r="SZX34" s="228"/>
      <c r="SZY34" s="228"/>
      <c r="SZZ34" s="228"/>
      <c r="TAA34" s="228"/>
      <c r="TAB34" s="228"/>
      <c r="TAC34" s="228"/>
      <c r="TAD34" s="228"/>
      <c r="TAE34" s="228"/>
      <c r="TAF34" s="228"/>
      <c r="TAG34" s="228"/>
      <c r="TAH34" s="228"/>
      <c r="TAI34" s="228"/>
      <c r="TAJ34" s="228"/>
      <c r="TAK34" s="228"/>
      <c r="TAL34" s="228"/>
      <c r="TAM34" s="228"/>
      <c r="TAN34" s="228"/>
      <c r="TAO34" s="228"/>
      <c r="TAP34" s="228"/>
      <c r="TAQ34" s="228"/>
      <c r="TAR34" s="228"/>
      <c r="TAS34" s="228"/>
      <c r="TAT34" s="228"/>
      <c r="TAU34" s="228"/>
      <c r="TAV34" s="228"/>
      <c r="TAW34" s="228"/>
      <c r="TAX34" s="228"/>
      <c r="TAY34" s="228"/>
      <c r="TAZ34" s="228"/>
      <c r="TBA34" s="228"/>
      <c r="TBB34" s="228"/>
      <c r="TBC34" s="228"/>
      <c r="TBD34" s="228"/>
      <c r="TBE34" s="228"/>
      <c r="TBF34" s="228"/>
      <c r="TBG34" s="228"/>
      <c r="TBH34" s="228"/>
      <c r="TBI34" s="228"/>
      <c r="TBJ34" s="228"/>
      <c r="TBK34" s="228"/>
      <c r="TBL34" s="228"/>
      <c r="TBM34" s="228"/>
      <c r="TBN34" s="228"/>
      <c r="TBO34" s="228"/>
      <c r="TBP34" s="228"/>
      <c r="TBQ34" s="228"/>
      <c r="TBR34" s="228"/>
      <c r="TBS34" s="228"/>
      <c r="TBT34" s="228"/>
      <c r="TBU34" s="228"/>
      <c r="TBV34" s="228"/>
      <c r="TBW34" s="228"/>
      <c r="TBX34" s="228"/>
      <c r="TBY34" s="228"/>
      <c r="TBZ34" s="228"/>
      <c r="TCA34" s="228"/>
      <c r="TCB34" s="228"/>
      <c r="TCC34" s="228"/>
      <c r="TCD34" s="228"/>
      <c r="TCE34" s="228"/>
      <c r="TCF34" s="228"/>
      <c r="TCG34" s="228"/>
      <c r="TCH34" s="228"/>
      <c r="TCI34" s="228"/>
      <c r="TCJ34" s="228"/>
      <c r="TCK34" s="228"/>
      <c r="TCL34" s="228"/>
      <c r="TCM34" s="228"/>
      <c r="TCN34" s="228"/>
      <c r="TCO34" s="228"/>
      <c r="TCP34" s="228"/>
      <c r="TCQ34" s="228"/>
      <c r="TCR34" s="228"/>
      <c r="TCS34" s="228"/>
      <c r="TCT34" s="228"/>
      <c r="TCU34" s="228"/>
      <c r="TCV34" s="228"/>
      <c r="TCW34" s="228"/>
      <c r="TCX34" s="228"/>
      <c r="TCY34" s="228"/>
      <c r="TCZ34" s="228"/>
      <c r="TDA34" s="228"/>
      <c r="TDB34" s="228"/>
      <c r="TDC34" s="228"/>
      <c r="TDD34" s="228"/>
      <c r="TDE34" s="228"/>
      <c r="TDF34" s="228"/>
      <c r="TDG34" s="228"/>
      <c r="TDH34" s="228"/>
      <c r="TDI34" s="228"/>
      <c r="TDJ34" s="228"/>
      <c r="TDK34" s="228"/>
      <c r="TDL34" s="228"/>
      <c r="TDM34" s="228"/>
      <c r="TDN34" s="228"/>
      <c r="TDO34" s="228"/>
      <c r="TDP34" s="228"/>
      <c r="TDQ34" s="228"/>
      <c r="TDR34" s="228"/>
      <c r="TDS34" s="228"/>
      <c r="TDT34" s="228"/>
      <c r="TDU34" s="228"/>
      <c r="TDV34" s="228"/>
      <c r="TDW34" s="228"/>
      <c r="TDX34" s="228"/>
      <c r="TDY34" s="228"/>
      <c r="TDZ34" s="228"/>
      <c r="TEA34" s="228"/>
      <c r="TEB34" s="228"/>
      <c r="TEC34" s="228"/>
      <c r="TED34" s="228"/>
      <c r="TEE34" s="228"/>
      <c r="TEF34" s="228"/>
      <c r="TEG34" s="228"/>
      <c r="TEH34" s="228"/>
      <c r="TEI34" s="228"/>
      <c r="TEJ34" s="228"/>
      <c r="TEK34" s="228"/>
      <c r="TEL34" s="228"/>
      <c r="TEM34" s="228"/>
      <c r="TEN34" s="228"/>
      <c r="TEO34" s="228"/>
      <c r="TEP34" s="228"/>
      <c r="TEQ34" s="228"/>
      <c r="TER34" s="228"/>
      <c r="TES34" s="228"/>
      <c r="TET34" s="228"/>
      <c r="TEU34" s="228"/>
      <c r="TEV34" s="228"/>
      <c r="TEW34" s="228"/>
      <c r="TEX34" s="228"/>
      <c r="TEY34" s="228"/>
      <c r="TEZ34" s="228"/>
      <c r="TFA34" s="228"/>
      <c r="TFB34" s="228"/>
      <c r="TFC34" s="228"/>
      <c r="TFD34" s="228"/>
      <c r="TFE34" s="228"/>
      <c r="TFF34" s="228"/>
      <c r="TFG34" s="228"/>
      <c r="TFH34" s="228"/>
      <c r="TFI34" s="228"/>
      <c r="TFJ34" s="228"/>
      <c r="TFK34" s="228"/>
      <c r="TFL34" s="228"/>
      <c r="TFM34" s="228"/>
      <c r="TFN34" s="228"/>
      <c r="TFO34" s="228"/>
      <c r="TFP34" s="228"/>
      <c r="TFQ34" s="228"/>
      <c r="TFR34" s="228"/>
      <c r="TFS34" s="228"/>
      <c r="TFT34" s="228"/>
      <c r="TFU34" s="228"/>
      <c r="TFV34" s="228"/>
      <c r="TFW34" s="228"/>
      <c r="TFX34" s="228"/>
      <c r="TFY34" s="228"/>
      <c r="TFZ34" s="228"/>
      <c r="TGA34" s="228"/>
      <c r="TGB34" s="228"/>
      <c r="TGC34" s="228"/>
      <c r="TGD34" s="228"/>
      <c r="TGE34" s="228"/>
      <c r="TGF34" s="228"/>
      <c r="TGG34" s="228"/>
      <c r="TGH34" s="228"/>
      <c r="TGI34" s="228"/>
      <c r="TGJ34" s="228"/>
      <c r="TGK34" s="228"/>
      <c r="TGL34" s="228"/>
      <c r="TGM34" s="228"/>
      <c r="TGN34" s="228"/>
      <c r="TGO34" s="228"/>
      <c r="TGP34" s="228"/>
      <c r="TGQ34" s="228"/>
      <c r="TGR34" s="228"/>
      <c r="TGS34" s="228"/>
      <c r="TGT34" s="228"/>
      <c r="TGU34" s="228"/>
      <c r="TGV34" s="228"/>
      <c r="TGW34" s="228"/>
      <c r="TGX34" s="228"/>
      <c r="TGY34" s="228"/>
      <c r="TGZ34" s="228"/>
      <c r="THA34" s="228"/>
      <c r="THB34" s="228"/>
      <c r="THC34" s="228"/>
      <c r="THD34" s="228"/>
      <c r="THE34" s="228"/>
      <c r="THF34" s="228"/>
      <c r="THG34" s="228"/>
      <c r="THH34" s="228"/>
      <c r="THI34" s="228"/>
      <c r="THJ34" s="228"/>
      <c r="THK34" s="228"/>
      <c r="THL34" s="228"/>
      <c r="THM34" s="228"/>
      <c r="THN34" s="228"/>
      <c r="THO34" s="228"/>
      <c r="THP34" s="228"/>
      <c r="THQ34" s="228"/>
      <c r="THR34" s="228"/>
      <c r="THS34" s="228"/>
      <c r="THT34" s="228"/>
      <c r="THU34" s="228"/>
      <c r="THV34" s="228"/>
      <c r="THW34" s="228"/>
      <c r="THX34" s="228"/>
      <c r="THY34" s="228"/>
      <c r="THZ34" s="228"/>
      <c r="TIA34" s="228"/>
      <c r="TIB34" s="228"/>
      <c r="TIC34" s="228"/>
      <c r="TID34" s="228"/>
      <c r="TIE34" s="228"/>
      <c r="TIF34" s="228"/>
      <c r="TIG34" s="228"/>
      <c r="TIH34" s="228"/>
      <c r="TII34" s="228"/>
      <c r="TIJ34" s="228"/>
      <c r="TIK34" s="228"/>
      <c r="TIL34" s="228"/>
      <c r="TIM34" s="228"/>
      <c r="TIN34" s="228"/>
      <c r="TIO34" s="228"/>
      <c r="TIP34" s="228"/>
      <c r="TIQ34" s="228"/>
      <c r="TIR34" s="228"/>
      <c r="TIS34" s="228"/>
      <c r="TIT34" s="228"/>
      <c r="TIU34" s="228"/>
      <c r="TIV34" s="228"/>
      <c r="TIW34" s="228"/>
      <c r="TIX34" s="228"/>
      <c r="TIY34" s="228"/>
      <c r="TIZ34" s="228"/>
      <c r="TJA34" s="228"/>
      <c r="TJB34" s="228"/>
      <c r="TJC34" s="228"/>
      <c r="TJD34" s="228"/>
      <c r="TJE34" s="228"/>
      <c r="TJF34" s="228"/>
      <c r="TJG34" s="228"/>
      <c r="TJH34" s="228"/>
      <c r="TJI34" s="228"/>
      <c r="TJJ34" s="228"/>
      <c r="TJK34" s="228"/>
      <c r="TJL34" s="228"/>
      <c r="TJM34" s="228"/>
      <c r="TJN34" s="228"/>
      <c r="TJO34" s="228"/>
      <c r="TJP34" s="228"/>
      <c r="TJQ34" s="228"/>
      <c r="TJR34" s="228"/>
      <c r="TJS34" s="228"/>
      <c r="TJT34" s="228"/>
      <c r="TJU34" s="228"/>
      <c r="TJV34" s="228"/>
      <c r="TJW34" s="228"/>
      <c r="TJX34" s="228"/>
      <c r="TJY34" s="228"/>
      <c r="TJZ34" s="228"/>
      <c r="TKA34" s="228"/>
      <c r="TKB34" s="228"/>
      <c r="TKC34" s="228"/>
      <c r="TKD34" s="228"/>
      <c r="TKE34" s="228"/>
      <c r="TKF34" s="228"/>
      <c r="TKG34" s="228"/>
      <c r="TKH34" s="228"/>
      <c r="TKI34" s="228"/>
      <c r="TKJ34" s="228"/>
      <c r="TKK34" s="228"/>
      <c r="TKL34" s="228"/>
      <c r="TKM34" s="228"/>
      <c r="TKN34" s="228"/>
      <c r="TKO34" s="228"/>
      <c r="TKP34" s="228"/>
      <c r="TKQ34" s="228"/>
      <c r="TKR34" s="228"/>
      <c r="TKS34" s="228"/>
      <c r="TKT34" s="228"/>
      <c r="TKU34" s="228"/>
      <c r="TKV34" s="228"/>
      <c r="TKW34" s="228"/>
      <c r="TKX34" s="228"/>
      <c r="TKY34" s="228"/>
      <c r="TKZ34" s="228"/>
      <c r="TLA34" s="228"/>
      <c r="TLB34" s="228"/>
      <c r="TLC34" s="228"/>
      <c r="TLD34" s="228"/>
      <c r="TLE34" s="228"/>
      <c r="TLF34" s="228"/>
      <c r="TLG34" s="228"/>
      <c r="TLH34" s="228"/>
      <c r="TLI34" s="228"/>
      <c r="TLJ34" s="228"/>
      <c r="TLK34" s="228"/>
      <c r="TLL34" s="228"/>
      <c r="TLM34" s="228"/>
      <c r="TLN34" s="228"/>
      <c r="TLO34" s="228"/>
      <c r="TLP34" s="228"/>
      <c r="TLQ34" s="228"/>
      <c r="TLR34" s="228"/>
      <c r="TLS34" s="228"/>
      <c r="TLT34" s="228"/>
      <c r="TLU34" s="228"/>
      <c r="TLV34" s="228"/>
      <c r="TLW34" s="228"/>
      <c r="TLX34" s="228"/>
      <c r="TLY34" s="228"/>
      <c r="TLZ34" s="228"/>
      <c r="TMA34" s="228"/>
      <c r="TMB34" s="228"/>
      <c r="TMC34" s="228"/>
      <c r="TMD34" s="228"/>
      <c r="TME34" s="228"/>
      <c r="TMF34" s="228"/>
      <c r="TMG34" s="228"/>
      <c r="TMH34" s="228"/>
      <c r="TMI34" s="228"/>
      <c r="TMJ34" s="228"/>
      <c r="TMK34" s="228"/>
      <c r="TML34" s="228"/>
      <c r="TMM34" s="228"/>
      <c r="TMN34" s="228"/>
      <c r="TMO34" s="228"/>
      <c r="TMP34" s="228"/>
      <c r="TMQ34" s="228"/>
      <c r="TMR34" s="228"/>
      <c r="TMS34" s="228"/>
      <c r="TMT34" s="228"/>
      <c r="TMU34" s="228"/>
      <c r="TMV34" s="228"/>
      <c r="TMW34" s="228"/>
      <c r="TMX34" s="228"/>
      <c r="TMY34" s="228"/>
      <c r="TMZ34" s="228"/>
      <c r="TNA34" s="228"/>
      <c r="TNB34" s="228"/>
      <c r="TNC34" s="228"/>
      <c r="TND34" s="228"/>
      <c r="TNE34" s="228"/>
      <c r="TNF34" s="228"/>
      <c r="TNG34" s="228"/>
      <c r="TNH34" s="228"/>
      <c r="TNI34" s="228"/>
      <c r="TNJ34" s="228"/>
      <c r="TNK34" s="228"/>
      <c r="TNL34" s="228"/>
      <c r="TNM34" s="228"/>
      <c r="TNN34" s="228"/>
      <c r="TNO34" s="228"/>
      <c r="TNP34" s="228"/>
      <c r="TNQ34" s="228"/>
      <c r="TNR34" s="228"/>
      <c r="TNS34" s="228"/>
      <c r="TNT34" s="228"/>
      <c r="TNU34" s="228"/>
      <c r="TNV34" s="228"/>
      <c r="TNW34" s="228"/>
      <c r="TNX34" s="228"/>
      <c r="TNY34" s="228"/>
      <c r="TNZ34" s="228"/>
      <c r="TOA34" s="228"/>
      <c r="TOB34" s="228"/>
      <c r="TOC34" s="228"/>
      <c r="TOD34" s="228"/>
      <c r="TOE34" s="228"/>
      <c r="TOF34" s="228"/>
      <c r="TOG34" s="228"/>
      <c r="TOH34" s="228"/>
      <c r="TOI34" s="228"/>
      <c r="TOJ34" s="228"/>
      <c r="TOK34" s="228"/>
      <c r="TOL34" s="228"/>
      <c r="TOM34" s="228"/>
      <c r="TON34" s="228"/>
      <c r="TOO34" s="228"/>
      <c r="TOP34" s="228"/>
      <c r="TOQ34" s="228"/>
      <c r="TOR34" s="228"/>
      <c r="TOS34" s="228"/>
      <c r="TOT34" s="228"/>
      <c r="TOU34" s="228"/>
      <c r="TOV34" s="228"/>
      <c r="TOW34" s="228"/>
      <c r="TOX34" s="228"/>
      <c r="TOY34" s="228"/>
      <c r="TOZ34" s="228"/>
      <c r="TPA34" s="228"/>
      <c r="TPB34" s="228"/>
      <c r="TPC34" s="228"/>
      <c r="TPD34" s="228"/>
      <c r="TPE34" s="228"/>
      <c r="TPF34" s="228"/>
      <c r="TPG34" s="228"/>
      <c r="TPH34" s="228"/>
      <c r="TPI34" s="228"/>
      <c r="TPJ34" s="228"/>
      <c r="TPK34" s="228"/>
      <c r="TPL34" s="228"/>
      <c r="TPM34" s="228"/>
      <c r="TPN34" s="228"/>
      <c r="TPO34" s="228"/>
      <c r="TPP34" s="228"/>
      <c r="TPQ34" s="228"/>
      <c r="TPR34" s="228"/>
      <c r="TPS34" s="228"/>
      <c r="TPT34" s="228"/>
      <c r="TPU34" s="228"/>
      <c r="TPV34" s="228"/>
      <c r="TPW34" s="228"/>
      <c r="TPX34" s="228"/>
      <c r="TPY34" s="228"/>
      <c r="TPZ34" s="228"/>
      <c r="TQA34" s="228"/>
      <c r="TQB34" s="228"/>
      <c r="TQC34" s="228"/>
      <c r="TQD34" s="228"/>
      <c r="TQE34" s="228"/>
      <c r="TQF34" s="228"/>
      <c r="TQG34" s="228"/>
      <c r="TQH34" s="228"/>
      <c r="TQI34" s="228"/>
      <c r="TQJ34" s="228"/>
      <c r="TQK34" s="228"/>
      <c r="TQL34" s="228"/>
      <c r="TQM34" s="228"/>
      <c r="TQN34" s="228"/>
      <c r="TQO34" s="228"/>
      <c r="TQP34" s="228"/>
      <c r="TQQ34" s="228"/>
      <c r="TQR34" s="228"/>
      <c r="TQS34" s="228"/>
      <c r="TQT34" s="228"/>
      <c r="TQU34" s="228"/>
      <c r="TQV34" s="228"/>
      <c r="TQW34" s="228"/>
      <c r="TQX34" s="228"/>
      <c r="TQY34" s="228"/>
      <c r="TQZ34" s="228"/>
      <c r="TRA34" s="228"/>
      <c r="TRB34" s="228"/>
      <c r="TRC34" s="228"/>
      <c r="TRD34" s="228"/>
      <c r="TRE34" s="228"/>
      <c r="TRF34" s="228"/>
      <c r="TRG34" s="228"/>
      <c r="TRH34" s="228"/>
      <c r="TRI34" s="228"/>
      <c r="TRJ34" s="228"/>
      <c r="TRK34" s="228"/>
      <c r="TRL34" s="228"/>
      <c r="TRM34" s="228"/>
      <c r="TRN34" s="228"/>
      <c r="TRO34" s="228"/>
      <c r="TRP34" s="228"/>
      <c r="TRQ34" s="228"/>
      <c r="TRR34" s="228"/>
      <c r="TRS34" s="228"/>
      <c r="TRT34" s="228"/>
      <c r="TRU34" s="228"/>
      <c r="TRV34" s="228"/>
      <c r="TRW34" s="228"/>
      <c r="TRX34" s="228"/>
      <c r="TRY34" s="228"/>
      <c r="TRZ34" s="228"/>
      <c r="TSA34" s="228"/>
      <c r="TSB34" s="228"/>
      <c r="TSC34" s="228"/>
      <c r="TSD34" s="228"/>
      <c r="TSE34" s="228"/>
      <c r="TSF34" s="228"/>
      <c r="TSG34" s="228"/>
      <c r="TSH34" s="228"/>
      <c r="TSI34" s="228"/>
      <c r="TSJ34" s="228"/>
      <c r="TSK34" s="228"/>
      <c r="TSL34" s="228"/>
      <c r="TSM34" s="228"/>
      <c r="TSN34" s="228"/>
      <c r="TSO34" s="228"/>
      <c r="TSP34" s="228"/>
      <c r="TSQ34" s="228"/>
      <c r="TSR34" s="228"/>
      <c r="TSS34" s="228"/>
      <c r="TST34" s="228"/>
      <c r="TSU34" s="228"/>
      <c r="TSV34" s="228"/>
      <c r="TSW34" s="228"/>
      <c r="TSX34" s="228"/>
      <c r="TSY34" s="228"/>
      <c r="TSZ34" s="228"/>
      <c r="TTA34" s="228"/>
      <c r="TTB34" s="228"/>
      <c r="TTC34" s="228"/>
      <c r="TTD34" s="228"/>
      <c r="TTE34" s="228"/>
      <c r="TTF34" s="228"/>
      <c r="TTG34" s="228"/>
      <c r="TTH34" s="228"/>
      <c r="TTI34" s="228"/>
      <c r="TTJ34" s="228"/>
      <c r="TTK34" s="228"/>
      <c r="TTL34" s="228"/>
      <c r="TTM34" s="228"/>
      <c r="TTN34" s="228"/>
      <c r="TTO34" s="228"/>
      <c r="TTP34" s="228"/>
      <c r="TTQ34" s="228"/>
      <c r="TTR34" s="228"/>
      <c r="TTS34" s="228"/>
      <c r="TTT34" s="228"/>
      <c r="TTU34" s="228"/>
      <c r="TTV34" s="228"/>
      <c r="TTW34" s="228"/>
      <c r="TTX34" s="228"/>
      <c r="TTY34" s="228"/>
      <c r="TTZ34" s="228"/>
      <c r="TUA34" s="228"/>
      <c r="TUB34" s="228"/>
      <c r="TUC34" s="228"/>
      <c r="TUD34" s="228"/>
      <c r="TUE34" s="228"/>
      <c r="TUF34" s="228"/>
      <c r="TUG34" s="228"/>
      <c r="TUH34" s="228"/>
      <c r="TUI34" s="228"/>
      <c r="TUJ34" s="228"/>
      <c r="TUK34" s="228"/>
      <c r="TUL34" s="228"/>
      <c r="TUM34" s="228"/>
      <c r="TUN34" s="228"/>
      <c r="TUO34" s="228"/>
      <c r="TUP34" s="228"/>
      <c r="TUQ34" s="228"/>
      <c r="TUR34" s="228"/>
      <c r="TUS34" s="228"/>
      <c r="TUT34" s="228"/>
      <c r="TUU34" s="228"/>
      <c r="TUV34" s="228"/>
      <c r="TUW34" s="228"/>
      <c r="TUX34" s="228"/>
      <c r="TUY34" s="228"/>
      <c r="TUZ34" s="228"/>
      <c r="TVA34" s="228"/>
      <c r="TVB34" s="228"/>
      <c r="TVC34" s="228"/>
      <c r="TVD34" s="228"/>
      <c r="TVE34" s="228"/>
      <c r="TVF34" s="228"/>
      <c r="TVG34" s="228"/>
      <c r="TVH34" s="228"/>
      <c r="TVI34" s="228"/>
      <c r="TVJ34" s="228"/>
      <c r="TVK34" s="228"/>
      <c r="TVL34" s="228"/>
      <c r="TVM34" s="228"/>
      <c r="TVN34" s="228"/>
      <c r="TVO34" s="228"/>
      <c r="TVP34" s="228"/>
      <c r="TVQ34" s="228"/>
      <c r="TVR34" s="228"/>
      <c r="TVS34" s="228"/>
      <c r="TVT34" s="228"/>
      <c r="TVU34" s="228"/>
      <c r="TVV34" s="228"/>
      <c r="TVW34" s="228"/>
      <c r="TVX34" s="228"/>
      <c r="TVY34" s="228"/>
      <c r="TVZ34" s="228"/>
      <c r="TWA34" s="228"/>
      <c r="TWB34" s="228"/>
      <c r="TWC34" s="228"/>
      <c r="TWD34" s="228"/>
      <c r="TWE34" s="228"/>
      <c r="TWF34" s="228"/>
      <c r="TWG34" s="228"/>
      <c r="TWH34" s="228"/>
      <c r="TWI34" s="228"/>
      <c r="TWJ34" s="228"/>
      <c r="TWK34" s="228"/>
      <c r="TWL34" s="228"/>
      <c r="TWM34" s="228"/>
      <c r="TWN34" s="228"/>
      <c r="TWO34" s="228"/>
      <c r="TWP34" s="228"/>
      <c r="TWQ34" s="228"/>
      <c r="TWR34" s="228"/>
      <c r="TWS34" s="228"/>
      <c r="TWT34" s="228"/>
      <c r="TWU34" s="228"/>
      <c r="TWV34" s="228"/>
      <c r="TWW34" s="228"/>
      <c r="TWX34" s="228"/>
      <c r="TWY34" s="228"/>
      <c r="TWZ34" s="228"/>
      <c r="TXA34" s="228"/>
      <c r="TXB34" s="228"/>
      <c r="TXC34" s="228"/>
      <c r="TXD34" s="228"/>
      <c r="TXE34" s="228"/>
      <c r="TXF34" s="228"/>
      <c r="TXG34" s="228"/>
      <c r="TXH34" s="228"/>
      <c r="TXI34" s="228"/>
      <c r="TXJ34" s="228"/>
      <c r="TXK34" s="228"/>
      <c r="TXL34" s="228"/>
      <c r="TXM34" s="228"/>
      <c r="TXN34" s="228"/>
      <c r="TXO34" s="228"/>
      <c r="TXP34" s="228"/>
      <c r="TXQ34" s="228"/>
      <c r="TXR34" s="228"/>
      <c r="TXS34" s="228"/>
      <c r="TXT34" s="228"/>
      <c r="TXU34" s="228"/>
      <c r="TXV34" s="228"/>
      <c r="TXW34" s="228"/>
      <c r="TXX34" s="228"/>
      <c r="TXY34" s="228"/>
      <c r="TXZ34" s="228"/>
      <c r="TYA34" s="228"/>
      <c r="TYB34" s="228"/>
      <c r="TYC34" s="228"/>
      <c r="TYD34" s="228"/>
      <c r="TYE34" s="228"/>
      <c r="TYF34" s="228"/>
      <c r="TYG34" s="228"/>
      <c r="TYH34" s="228"/>
      <c r="TYI34" s="228"/>
      <c r="TYJ34" s="228"/>
      <c r="TYK34" s="228"/>
      <c r="TYL34" s="228"/>
      <c r="TYM34" s="228"/>
      <c r="TYN34" s="228"/>
      <c r="TYO34" s="228"/>
      <c r="TYP34" s="228"/>
      <c r="TYQ34" s="228"/>
      <c r="TYR34" s="228"/>
      <c r="TYS34" s="228"/>
      <c r="TYT34" s="228"/>
      <c r="TYU34" s="228"/>
      <c r="TYV34" s="228"/>
      <c r="TYW34" s="228"/>
      <c r="TYX34" s="228"/>
      <c r="TYY34" s="228"/>
      <c r="TYZ34" s="228"/>
      <c r="TZA34" s="228"/>
      <c r="TZB34" s="228"/>
      <c r="TZC34" s="228"/>
      <c r="TZD34" s="228"/>
      <c r="TZE34" s="228"/>
      <c r="TZF34" s="228"/>
      <c r="TZG34" s="228"/>
      <c r="TZH34" s="228"/>
      <c r="TZI34" s="228"/>
      <c r="TZJ34" s="228"/>
      <c r="TZK34" s="228"/>
      <c r="TZL34" s="228"/>
      <c r="TZM34" s="228"/>
      <c r="TZN34" s="228"/>
      <c r="TZO34" s="228"/>
      <c r="TZP34" s="228"/>
      <c r="TZQ34" s="228"/>
      <c r="TZR34" s="228"/>
      <c r="TZS34" s="228"/>
      <c r="TZT34" s="228"/>
      <c r="TZU34" s="228"/>
      <c r="TZV34" s="228"/>
      <c r="TZW34" s="228"/>
      <c r="TZX34" s="228"/>
      <c r="TZY34" s="228"/>
      <c r="TZZ34" s="228"/>
      <c r="UAA34" s="228"/>
      <c r="UAB34" s="228"/>
      <c r="UAC34" s="228"/>
      <c r="UAD34" s="228"/>
      <c r="UAE34" s="228"/>
      <c r="UAF34" s="228"/>
      <c r="UAG34" s="228"/>
      <c r="UAH34" s="228"/>
      <c r="UAI34" s="228"/>
      <c r="UAJ34" s="228"/>
      <c r="UAK34" s="228"/>
      <c r="UAL34" s="228"/>
      <c r="UAM34" s="228"/>
      <c r="UAN34" s="228"/>
      <c r="UAO34" s="228"/>
      <c r="UAP34" s="228"/>
      <c r="UAQ34" s="228"/>
      <c r="UAR34" s="228"/>
      <c r="UAS34" s="228"/>
      <c r="UAT34" s="228"/>
      <c r="UAU34" s="228"/>
      <c r="UAV34" s="228"/>
      <c r="UAW34" s="228"/>
      <c r="UAX34" s="228"/>
      <c r="UAY34" s="228"/>
      <c r="UAZ34" s="228"/>
      <c r="UBA34" s="228"/>
      <c r="UBB34" s="228"/>
      <c r="UBC34" s="228"/>
      <c r="UBD34" s="228"/>
      <c r="UBE34" s="228"/>
      <c r="UBF34" s="228"/>
      <c r="UBG34" s="228"/>
      <c r="UBH34" s="228"/>
      <c r="UBI34" s="228"/>
      <c r="UBJ34" s="228"/>
      <c r="UBK34" s="228"/>
      <c r="UBL34" s="228"/>
      <c r="UBM34" s="228"/>
      <c r="UBN34" s="228"/>
      <c r="UBO34" s="228"/>
      <c r="UBP34" s="228"/>
      <c r="UBQ34" s="228"/>
      <c r="UBR34" s="228"/>
      <c r="UBS34" s="228"/>
      <c r="UBT34" s="228"/>
      <c r="UBU34" s="228"/>
      <c r="UBV34" s="228"/>
      <c r="UBW34" s="228"/>
      <c r="UBX34" s="228"/>
      <c r="UBY34" s="228"/>
      <c r="UBZ34" s="228"/>
      <c r="UCA34" s="228"/>
      <c r="UCB34" s="228"/>
      <c r="UCC34" s="228"/>
      <c r="UCD34" s="228"/>
      <c r="UCE34" s="228"/>
      <c r="UCF34" s="228"/>
      <c r="UCG34" s="228"/>
      <c r="UCH34" s="228"/>
      <c r="UCI34" s="228"/>
      <c r="UCJ34" s="228"/>
      <c r="UCK34" s="228"/>
      <c r="UCL34" s="228"/>
      <c r="UCM34" s="228"/>
      <c r="UCN34" s="228"/>
      <c r="UCO34" s="228"/>
      <c r="UCP34" s="228"/>
      <c r="UCQ34" s="228"/>
      <c r="UCR34" s="228"/>
      <c r="UCS34" s="228"/>
      <c r="UCT34" s="228"/>
      <c r="UCU34" s="228"/>
      <c r="UCV34" s="228"/>
      <c r="UCW34" s="228"/>
      <c r="UCX34" s="228"/>
      <c r="UCY34" s="228"/>
      <c r="UCZ34" s="228"/>
      <c r="UDA34" s="228"/>
      <c r="UDB34" s="228"/>
      <c r="UDC34" s="228"/>
      <c r="UDD34" s="228"/>
      <c r="UDE34" s="228"/>
      <c r="UDF34" s="228"/>
      <c r="UDG34" s="228"/>
      <c r="UDH34" s="228"/>
      <c r="UDI34" s="228"/>
      <c r="UDJ34" s="228"/>
      <c r="UDK34" s="228"/>
      <c r="UDL34" s="228"/>
      <c r="UDM34" s="228"/>
      <c r="UDN34" s="228"/>
      <c r="UDO34" s="228"/>
      <c r="UDP34" s="228"/>
      <c r="UDQ34" s="228"/>
      <c r="UDR34" s="228"/>
      <c r="UDS34" s="228"/>
      <c r="UDT34" s="228"/>
      <c r="UDU34" s="228"/>
      <c r="UDV34" s="228"/>
      <c r="UDW34" s="228"/>
      <c r="UDX34" s="228"/>
      <c r="UDY34" s="228"/>
      <c r="UDZ34" s="228"/>
      <c r="UEA34" s="228"/>
      <c r="UEB34" s="228"/>
      <c r="UEC34" s="228"/>
      <c r="UED34" s="228"/>
      <c r="UEE34" s="228"/>
      <c r="UEF34" s="228"/>
      <c r="UEG34" s="228"/>
      <c r="UEH34" s="228"/>
      <c r="UEI34" s="228"/>
      <c r="UEJ34" s="228"/>
      <c r="UEK34" s="228"/>
      <c r="UEL34" s="228"/>
      <c r="UEM34" s="228"/>
      <c r="UEN34" s="228"/>
      <c r="UEO34" s="228"/>
      <c r="UEP34" s="228"/>
      <c r="UEQ34" s="228"/>
      <c r="UER34" s="228"/>
      <c r="UES34" s="228"/>
      <c r="UET34" s="228"/>
      <c r="UEU34" s="228"/>
      <c r="UEV34" s="228"/>
      <c r="UEW34" s="228"/>
      <c r="UEX34" s="228"/>
      <c r="UEY34" s="228"/>
      <c r="UEZ34" s="228"/>
      <c r="UFA34" s="228"/>
      <c r="UFB34" s="228"/>
      <c r="UFC34" s="228"/>
      <c r="UFD34" s="228"/>
      <c r="UFE34" s="228"/>
      <c r="UFF34" s="228"/>
      <c r="UFG34" s="228"/>
      <c r="UFH34" s="228"/>
      <c r="UFI34" s="228"/>
      <c r="UFJ34" s="228"/>
      <c r="UFK34" s="228"/>
      <c r="UFL34" s="228"/>
      <c r="UFM34" s="228"/>
      <c r="UFN34" s="228"/>
      <c r="UFO34" s="228"/>
      <c r="UFP34" s="228"/>
      <c r="UFQ34" s="228"/>
      <c r="UFR34" s="228"/>
      <c r="UFS34" s="228"/>
      <c r="UFT34" s="228"/>
      <c r="UFU34" s="228"/>
      <c r="UFV34" s="228"/>
      <c r="UFW34" s="228"/>
      <c r="UFX34" s="228"/>
      <c r="UFY34" s="228"/>
      <c r="UFZ34" s="228"/>
      <c r="UGA34" s="228"/>
      <c r="UGB34" s="228"/>
      <c r="UGC34" s="228"/>
      <c r="UGD34" s="228"/>
      <c r="UGE34" s="228"/>
      <c r="UGF34" s="228"/>
      <c r="UGG34" s="228"/>
      <c r="UGH34" s="228"/>
      <c r="UGI34" s="228"/>
      <c r="UGJ34" s="228"/>
      <c r="UGK34" s="228"/>
      <c r="UGL34" s="228"/>
      <c r="UGM34" s="228"/>
      <c r="UGN34" s="228"/>
      <c r="UGO34" s="228"/>
      <c r="UGP34" s="228"/>
      <c r="UGQ34" s="228"/>
      <c r="UGR34" s="228"/>
      <c r="UGS34" s="228"/>
      <c r="UGT34" s="228"/>
      <c r="UGU34" s="228"/>
      <c r="UGV34" s="228"/>
      <c r="UGW34" s="228"/>
      <c r="UGX34" s="228"/>
      <c r="UGY34" s="228"/>
      <c r="UGZ34" s="228"/>
      <c r="UHA34" s="228"/>
      <c r="UHB34" s="228"/>
      <c r="UHC34" s="228"/>
      <c r="UHD34" s="228"/>
      <c r="UHE34" s="228"/>
      <c r="UHF34" s="228"/>
      <c r="UHG34" s="228"/>
      <c r="UHH34" s="228"/>
      <c r="UHI34" s="228"/>
      <c r="UHJ34" s="228"/>
      <c r="UHK34" s="228"/>
      <c r="UHL34" s="228"/>
      <c r="UHM34" s="228"/>
      <c r="UHN34" s="228"/>
      <c r="UHO34" s="228"/>
      <c r="UHP34" s="228"/>
      <c r="UHQ34" s="228"/>
      <c r="UHR34" s="228"/>
      <c r="UHS34" s="228"/>
      <c r="UHT34" s="228"/>
      <c r="UHU34" s="228"/>
      <c r="UHV34" s="228"/>
      <c r="UHW34" s="228"/>
      <c r="UHX34" s="228"/>
      <c r="UHY34" s="228"/>
      <c r="UHZ34" s="228"/>
      <c r="UIA34" s="228"/>
      <c r="UIB34" s="228"/>
      <c r="UIC34" s="228"/>
      <c r="UID34" s="228"/>
      <c r="UIE34" s="228"/>
      <c r="UIF34" s="228"/>
      <c r="UIG34" s="228"/>
      <c r="UIH34" s="228"/>
      <c r="UII34" s="228"/>
      <c r="UIJ34" s="228"/>
      <c r="UIK34" s="228"/>
      <c r="UIL34" s="228"/>
      <c r="UIM34" s="228"/>
      <c r="UIN34" s="228"/>
      <c r="UIO34" s="228"/>
      <c r="UIP34" s="228"/>
      <c r="UIQ34" s="228"/>
      <c r="UIR34" s="228"/>
      <c r="UIS34" s="228"/>
      <c r="UIT34" s="228"/>
      <c r="UIU34" s="228"/>
      <c r="UIV34" s="228"/>
      <c r="UIW34" s="228"/>
      <c r="UIX34" s="228"/>
      <c r="UIY34" s="228"/>
      <c r="UIZ34" s="228"/>
      <c r="UJA34" s="228"/>
      <c r="UJB34" s="228"/>
      <c r="UJC34" s="228"/>
      <c r="UJD34" s="228"/>
      <c r="UJE34" s="228"/>
      <c r="UJF34" s="228"/>
      <c r="UJG34" s="228"/>
      <c r="UJH34" s="228"/>
      <c r="UJI34" s="228"/>
      <c r="UJJ34" s="228"/>
      <c r="UJK34" s="228"/>
      <c r="UJL34" s="228"/>
      <c r="UJM34" s="228"/>
      <c r="UJN34" s="228"/>
      <c r="UJO34" s="228"/>
      <c r="UJP34" s="228"/>
      <c r="UJQ34" s="228"/>
      <c r="UJR34" s="228"/>
      <c r="UJS34" s="228"/>
      <c r="UJT34" s="228"/>
      <c r="UJU34" s="228"/>
      <c r="UJV34" s="228"/>
      <c r="UJW34" s="228"/>
      <c r="UJX34" s="228"/>
      <c r="UJY34" s="228"/>
      <c r="UJZ34" s="228"/>
      <c r="UKA34" s="228"/>
      <c r="UKB34" s="228"/>
      <c r="UKC34" s="228"/>
      <c r="UKD34" s="228"/>
      <c r="UKE34" s="228"/>
      <c r="UKF34" s="228"/>
      <c r="UKG34" s="228"/>
      <c r="UKH34" s="228"/>
      <c r="UKI34" s="228"/>
      <c r="UKJ34" s="228"/>
      <c r="UKK34" s="228"/>
      <c r="UKL34" s="228"/>
      <c r="UKM34" s="228"/>
      <c r="UKN34" s="228"/>
      <c r="UKO34" s="228"/>
      <c r="UKP34" s="228"/>
      <c r="UKQ34" s="228"/>
      <c r="UKR34" s="228"/>
      <c r="UKS34" s="228"/>
      <c r="UKT34" s="228"/>
      <c r="UKU34" s="228"/>
      <c r="UKV34" s="228"/>
      <c r="UKW34" s="228"/>
      <c r="UKX34" s="228"/>
      <c r="UKY34" s="228"/>
      <c r="UKZ34" s="228"/>
      <c r="ULA34" s="228"/>
      <c r="ULB34" s="228"/>
      <c r="ULC34" s="228"/>
      <c r="ULD34" s="228"/>
      <c r="ULE34" s="228"/>
      <c r="ULF34" s="228"/>
      <c r="ULG34" s="228"/>
      <c r="ULH34" s="228"/>
      <c r="ULI34" s="228"/>
      <c r="ULJ34" s="228"/>
      <c r="ULK34" s="228"/>
      <c r="ULL34" s="228"/>
      <c r="ULM34" s="228"/>
      <c r="ULN34" s="228"/>
      <c r="ULO34" s="228"/>
      <c r="ULP34" s="228"/>
      <c r="ULQ34" s="228"/>
      <c r="ULR34" s="228"/>
      <c r="ULS34" s="228"/>
      <c r="ULT34" s="228"/>
      <c r="ULU34" s="228"/>
      <c r="ULV34" s="228"/>
      <c r="ULW34" s="228"/>
      <c r="ULX34" s="228"/>
      <c r="ULY34" s="228"/>
      <c r="ULZ34" s="228"/>
      <c r="UMA34" s="228"/>
      <c r="UMB34" s="228"/>
      <c r="UMC34" s="228"/>
      <c r="UMD34" s="228"/>
      <c r="UME34" s="228"/>
      <c r="UMF34" s="228"/>
      <c r="UMG34" s="228"/>
      <c r="UMH34" s="228"/>
      <c r="UMI34" s="228"/>
      <c r="UMJ34" s="228"/>
      <c r="UMK34" s="228"/>
      <c r="UML34" s="228"/>
      <c r="UMM34" s="228"/>
      <c r="UMN34" s="228"/>
      <c r="UMO34" s="228"/>
      <c r="UMP34" s="228"/>
      <c r="UMQ34" s="228"/>
      <c r="UMR34" s="228"/>
      <c r="UMS34" s="228"/>
      <c r="UMT34" s="228"/>
      <c r="UMU34" s="228"/>
      <c r="UMV34" s="228"/>
      <c r="UMW34" s="228"/>
      <c r="UMX34" s="228"/>
      <c r="UMY34" s="228"/>
      <c r="UMZ34" s="228"/>
      <c r="UNA34" s="228"/>
      <c r="UNB34" s="228"/>
      <c r="UNC34" s="228"/>
      <c r="UND34" s="228"/>
      <c r="UNE34" s="228"/>
      <c r="UNF34" s="228"/>
      <c r="UNG34" s="228"/>
      <c r="UNH34" s="228"/>
      <c r="UNI34" s="228"/>
      <c r="UNJ34" s="228"/>
      <c r="UNK34" s="228"/>
      <c r="UNL34" s="228"/>
      <c r="UNM34" s="228"/>
      <c r="UNN34" s="228"/>
      <c r="UNO34" s="228"/>
      <c r="UNP34" s="228"/>
      <c r="UNQ34" s="228"/>
      <c r="UNR34" s="228"/>
      <c r="UNS34" s="228"/>
      <c r="UNT34" s="228"/>
      <c r="UNU34" s="228"/>
      <c r="UNV34" s="228"/>
      <c r="UNW34" s="228"/>
      <c r="UNX34" s="228"/>
      <c r="UNY34" s="228"/>
      <c r="UNZ34" s="228"/>
      <c r="UOA34" s="228"/>
      <c r="UOB34" s="228"/>
      <c r="UOC34" s="228"/>
      <c r="UOD34" s="228"/>
      <c r="UOE34" s="228"/>
      <c r="UOF34" s="228"/>
      <c r="UOG34" s="228"/>
      <c r="UOH34" s="228"/>
      <c r="UOI34" s="228"/>
      <c r="UOJ34" s="228"/>
      <c r="UOK34" s="228"/>
      <c r="UOL34" s="228"/>
      <c r="UOM34" s="228"/>
      <c r="UON34" s="228"/>
      <c r="UOO34" s="228"/>
      <c r="UOP34" s="228"/>
      <c r="UOQ34" s="228"/>
      <c r="UOR34" s="228"/>
      <c r="UOS34" s="228"/>
      <c r="UOT34" s="228"/>
      <c r="UOU34" s="228"/>
      <c r="UOV34" s="228"/>
      <c r="UOW34" s="228"/>
      <c r="UOX34" s="228"/>
      <c r="UOY34" s="228"/>
      <c r="UOZ34" s="228"/>
      <c r="UPA34" s="228"/>
      <c r="UPB34" s="228"/>
      <c r="UPC34" s="228"/>
      <c r="UPD34" s="228"/>
      <c r="UPE34" s="228"/>
      <c r="UPF34" s="228"/>
      <c r="UPG34" s="228"/>
      <c r="UPH34" s="228"/>
      <c r="UPI34" s="228"/>
      <c r="UPJ34" s="228"/>
      <c r="UPK34" s="228"/>
      <c r="UPL34" s="228"/>
      <c r="UPM34" s="228"/>
      <c r="UPN34" s="228"/>
      <c r="UPO34" s="228"/>
      <c r="UPP34" s="228"/>
      <c r="UPQ34" s="228"/>
      <c r="UPR34" s="228"/>
      <c r="UPS34" s="228"/>
      <c r="UPT34" s="228"/>
      <c r="UPU34" s="228"/>
      <c r="UPV34" s="228"/>
      <c r="UPW34" s="228"/>
      <c r="UPX34" s="228"/>
      <c r="UPY34" s="228"/>
      <c r="UPZ34" s="228"/>
      <c r="UQA34" s="228"/>
      <c r="UQB34" s="228"/>
      <c r="UQC34" s="228"/>
      <c r="UQD34" s="228"/>
      <c r="UQE34" s="228"/>
      <c r="UQF34" s="228"/>
      <c r="UQG34" s="228"/>
      <c r="UQH34" s="228"/>
      <c r="UQI34" s="228"/>
      <c r="UQJ34" s="228"/>
      <c r="UQK34" s="228"/>
      <c r="UQL34" s="228"/>
      <c r="UQM34" s="228"/>
      <c r="UQN34" s="228"/>
      <c r="UQO34" s="228"/>
      <c r="UQP34" s="228"/>
      <c r="UQQ34" s="228"/>
      <c r="UQR34" s="228"/>
      <c r="UQS34" s="228"/>
      <c r="UQT34" s="228"/>
      <c r="UQU34" s="228"/>
      <c r="UQV34" s="228"/>
      <c r="UQW34" s="228"/>
      <c r="UQX34" s="228"/>
      <c r="UQY34" s="228"/>
      <c r="UQZ34" s="228"/>
      <c r="URA34" s="228"/>
      <c r="URB34" s="228"/>
      <c r="URC34" s="228"/>
      <c r="URD34" s="228"/>
      <c r="URE34" s="228"/>
      <c r="URF34" s="228"/>
      <c r="URG34" s="228"/>
      <c r="URH34" s="228"/>
      <c r="URI34" s="228"/>
      <c r="URJ34" s="228"/>
      <c r="URK34" s="228"/>
      <c r="URL34" s="228"/>
      <c r="URM34" s="228"/>
      <c r="URN34" s="228"/>
      <c r="URO34" s="228"/>
      <c r="URP34" s="228"/>
      <c r="URQ34" s="228"/>
      <c r="URR34" s="228"/>
      <c r="URS34" s="228"/>
      <c r="URT34" s="228"/>
      <c r="URU34" s="228"/>
      <c r="URV34" s="228"/>
      <c r="URW34" s="228"/>
      <c r="URX34" s="228"/>
      <c r="URY34" s="228"/>
      <c r="URZ34" s="228"/>
      <c r="USA34" s="228"/>
      <c r="USB34" s="228"/>
      <c r="USC34" s="228"/>
      <c r="USD34" s="228"/>
      <c r="USE34" s="228"/>
      <c r="USF34" s="228"/>
      <c r="USG34" s="228"/>
      <c r="USH34" s="228"/>
      <c r="USI34" s="228"/>
      <c r="USJ34" s="228"/>
      <c r="USK34" s="228"/>
      <c r="USL34" s="228"/>
      <c r="USM34" s="228"/>
      <c r="USN34" s="228"/>
      <c r="USO34" s="228"/>
      <c r="USP34" s="228"/>
      <c r="USQ34" s="228"/>
      <c r="USR34" s="228"/>
      <c r="USS34" s="228"/>
      <c r="UST34" s="228"/>
      <c r="USU34" s="228"/>
      <c r="USV34" s="228"/>
      <c r="USW34" s="228"/>
      <c r="USX34" s="228"/>
      <c r="USY34" s="228"/>
      <c r="USZ34" s="228"/>
      <c r="UTA34" s="228"/>
      <c r="UTB34" s="228"/>
      <c r="UTC34" s="228"/>
      <c r="UTD34" s="228"/>
      <c r="UTE34" s="228"/>
      <c r="UTF34" s="228"/>
      <c r="UTG34" s="228"/>
      <c r="UTH34" s="228"/>
      <c r="UTI34" s="228"/>
      <c r="UTJ34" s="228"/>
      <c r="UTK34" s="228"/>
      <c r="UTL34" s="228"/>
      <c r="UTM34" s="228"/>
      <c r="UTN34" s="228"/>
      <c r="UTO34" s="228"/>
      <c r="UTP34" s="228"/>
      <c r="UTQ34" s="228"/>
      <c r="UTR34" s="228"/>
      <c r="UTS34" s="228"/>
      <c r="UTT34" s="228"/>
      <c r="UTU34" s="228"/>
      <c r="UTV34" s="228"/>
      <c r="UTW34" s="228"/>
      <c r="UTX34" s="228"/>
      <c r="UTY34" s="228"/>
      <c r="UTZ34" s="228"/>
      <c r="UUA34" s="228"/>
      <c r="UUB34" s="228"/>
      <c r="UUC34" s="228"/>
      <c r="UUD34" s="228"/>
      <c r="UUE34" s="228"/>
      <c r="UUF34" s="228"/>
      <c r="UUG34" s="228"/>
      <c r="UUH34" s="228"/>
      <c r="UUI34" s="228"/>
      <c r="UUJ34" s="228"/>
      <c r="UUK34" s="228"/>
      <c r="UUL34" s="228"/>
      <c r="UUM34" s="228"/>
      <c r="UUN34" s="228"/>
      <c r="UUO34" s="228"/>
      <c r="UUP34" s="228"/>
      <c r="UUQ34" s="228"/>
      <c r="UUR34" s="228"/>
      <c r="UUS34" s="228"/>
      <c r="UUT34" s="228"/>
      <c r="UUU34" s="228"/>
      <c r="UUV34" s="228"/>
      <c r="UUW34" s="228"/>
      <c r="UUX34" s="228"/>
      <c r="UUY34" s="228"/>
      <c r="UUZ34" s="228"/>
      <c r="UVA34" s="228"/>
      <c r="UVB34" s="228"/>
      <c r="UVC34" s="228"/>
      <c r="UVD34" s="228"/>
      <c r="UVE34" s="228"/>
      <c r="UVF34" s="228"/>
      <c r="UVG34" s="228"/>
      <c r="UVH34" s="228"/>
      <c r="UVI34" s="228"/>
      <c r="UVJ34" s="228"/>
      <c r="UVK34" s="228"/>
      <c r="UVL34" s="228"/>
      <c r="UVM34" s="228"/>
      <c r="UVN34" s="228"/>
      <c r="UVO34" s="228"/>
      <c r="UVP34" s="228"/>
      <c r="UVQ34" s="228"/>
      <c r="UVR34" s="228"/>
      <c r="UVS34" s="228"/>
      <c r="UVT34" s="228"/>
      <c r="UVU34" s="228"/>
      <c r="UVV34" s="228"/>
      <c r="UVW34" s="228"/>
      <c r="UVX34" s="228"/>
      <c r="UVY34" s="228"/>
      <c r="UVZ34" s="228"/>
      <c r="UWA34" s="228"/>
      <c r="UWB34" s="228"/>
      <c r="UWC34" s="228"/>
      <c r="UWD34" s="228"/>
      <c r="UWE34" s="228"/>
      <c r="UWF34" s="228"/>
      <c r="UWG34" s="228"/>
      <c r="UWH34" s="228"/>
      <c r="UWI34" s="228"/>
      <c r="UWJ34" s="228"/>
      <c r="UWK34" s="228"/>
      <c r="UWL34" s="228"/>
      <c r="UWM34" s="228"/>
      <c r="UWN34" s="228"/>
      <c r="UWO34" s="228"/>
      <c r="UWP34" s="228"/>
      <c r="UWQ34" s="228"/>
      <c r="UWR34" s="228"/>
      <c r="UWS34" s="228"/>
      <c r="UWT34" s="228"/>
      <c r="UWU34" s="228"/>
      <c r="UWV34" s="228"/>
      <c r="UWW34" s="228"/>
      <c r="UWX34" s="228"/>
      <c r="UWY34" s="228"/>
      <c r="UWZ34" s="228"/>
      <c r="UXA34" s="228"/>
      <c r="UXB34" s="228"/>
      <c r="UXC34" s="228"/>
      <c r="UXD34" s="228"/>
      <c r="UXE34" s="228"/>
      <c r="UXF34" s="228"/>
      <c r="UXG34" s="228"/>
      <c r="UXH34" s="228"/>
      <c r="UXI34" s="228"/>
      <c r="UXJ34" s="228"/>
      <c r="UXK34" s="228"/>
      <c r="UXL34" s="228"/>
      <c r="UXM34" s="228"/>
      <c r="UXN34" s="228"/>
      <c r="UXO34" s="228"/>
      <c r="UXP34" s="228"/>
      <c r="UXQ34" s="228"/>
      <c r="UXR34" s="228"/>
      <c r="UXS34" s="228"/>
      <c r="UXT34" s="228"/>
      <c r="UXU34" s="228"/>
      <c r="UXV34" s="228"/>
      <c r="UXW34" s="228"/>
      <c r="UXX34" s="228"/>
      <c r="UXY34" s="228"/>
      <c r="UXZ34" s="228"/>
      <c r="UYA34" s="228"/>
      <c r="UYB34" s="228"/>
      <c r="UYC34" s="228"/>
      <c r="UYD34" s="228"/>
      <c r="UYE34" s="228"/>
      <c r="UYF34" s="228"/>
      <c r="UYG34" s="228"/>
      <c r="UYH34" s="228"/>
      <c r="UYI34" s="228"/>
      <c r="UYJ34" s="228"/>
      <c r="UYK34" s="228"/>
      <c r="UYL34" s="228"/>
      <c r="UYM34" s="228"/>
      <c r="UYN34" s="228"/>
      <c r="UYO34" s="228"/>
      <c r="UYP34" s="228"/>
      <c r="UYQ34" s="228"/>
      <c r="UYR34" s="228"/>
      <c r="UYS34" s="228"/>
      <c r="UYT34" s="228"/>
      <c r="UYU34" s="228"/>
      <c r="UYV34" s="228"/>
      <c r="UYW34" s="228"/>
      <c r="UYX34" s="228"/>
      <c r="UYY34" s="228"/>
      <c r="UYZ34" s="228"/>
      <c r="UZA34" s="228"/>
      <c r="UZB34" s="228"/>
      <c r="UZC34" s="228"/>
      <c r="UZD34" s="228"/>
      <c r="UZE34" s="228"/>
      <c r="UZF34" s="228"/>
      <c r="UZG34" s="228"/>
      <c r="UZH34" s="228"/>
      <c r="UZI34" s="228"/>
      <c r="UZJ34" s="228"/>
      <c r="UZK34" s="228"/>
      <c r="UZL34" s="228"/>
      <c r="UZM34" s="228"/>
      <c r="UZN34" s="228"/>
      <c r="UZO34" s="228"/>
      <c r="UZP34" s="228"/>
      <c r="UZQ34" s="228"/>
      <c r="UZR34" s="228"/>
      <c r="UZS34" s="228"/>
      <c r="UZT34" s="228"/>
      <c r="UZU34" s="228"/>
      <c r="UZV34" s="228"/>
      <c r="UZW34" s="228"/>
      <c r="UZX34" s="228"/>
      <c r="UZY34" s="228"/>
      <c r="UZZ34" s="228"/>
      <c r="VAA34" s="228"/>
      <c r="VAB34" s="228"/>
      <c r="VAC34" s="228"/>
      <c r="VAD34" s="228"/>
      <c r="VAE34" s="228"/>
      <c r="VAF34" s="228"/>
      <c r="VAG34" s="228"/>
      <c r="VAH34" s="228"/>
      <c r="VAI34" s="228"/>
      <c r="VAJ34" s="228"/>
      <c r="VAK34" s="228"/>
      <c r="VAL34" s="228"/>
      <c r="VAM34" s="228"/>
      <c r="VAN34" s="228"/>
      <c r="VAO34" s="228"/>
      <c r="VAP34" s="228"/>
      <c r="VAQ34" s="228"/>
      <c r="VAR34" s="228"/>
      <c r="VAS34" s="228"/>
      <c r="VAT34" s="228"/>
      <c r="VAU34" s="228"/>
      <c r="VAV34" s="228"/>
      <c r="VAW34" s="228"/>
      <c r="VAX34" s="228"/>
      <c r="VAY34" s="228"/>
      <c r="VAZ34" s="228"/>
      <c r="VBA34" s="228"/>
      <c r="VBB34" s="228"/>
      <c r="VBC34" s="228"/>
      <c r="VBD34" s="228"/>
      <c r="VBE34" s="228"/>
      <c r="VBF34" s="228"/>
      <c r="VBG34" s="228"/>
      <c r="VBH34" s="228"/>
      <c r="VBI34" s="228"/>
      <c r="VBJ34" s="228"/>
      <c r="VBK34" s="228"/>
      <c r="VBL34" s="228"/>
      <c r="VBM34" s="228"/>
      <c r="VBN34" s="228"/>
      <c r="VBO34" s="228"/>
      <c r="VBP34" s="228"/>
      <c r="VBQ34" s="228"/>
      <c r="VBR34" s="228"/>
      <c r="VBS34" s="228"/>
      <c r="VBT34" s="228"/>
      <c r="VBU34" s="228"/>
      <c r="VBV34" s="228"/>
      <c r="VBW34" s="228"/>
      <c r="VBX34" s="228"/>
      <c r="VBY34" s="228"/>
      <c r="VBZ34" s="228"/>
      <c r="VCA34" s="228"/>
      <c r="VCB34" s="228"/>
      <c r="VCC34" s="228"/>
      <c r="VCD34" s="228"/>
      <c r="VCE34" s="228"/>
      <c r="VCF34" s="228"/>
      <c r="VCG34" s="228"/>
      <c r="VCH34" s="228"/>
      <c r="VCI34" s="228"/>
      <c r="VCJ34" s="228"/>
      <c r="VCK34" s="228"/>
      <c r="VCL34" s="228"/>
      <c r="VCM34" s="228"/>
      <c r="VCN34" s="228"/>
      <c r="VCO34" s="228"/>
      <c r="VCP34" s="228"/>
      <c r="VCQ34" s="228"/>
      <c r="VCR34" s="228"/>
      <c r="VCS34" s="228"/>
      <c r="VCT34" s="228"/>
      <c r="VCU34" s="228"/>
      <c r="VCV34" s="228"/>
      <c r="VCW34" s="228"/>
      <c r="VCX34" s="228"/>
      <c r="VCY34" s="228"/>
      <c r="VCZ34" s="228"/>
      <c r="VDA34" s="228"/>
      <c r="VDB34" s="228"/>
      <c r="VDC34" s="228"/>
      <c r="VDD34" s="228"/>
      <c r="VDE34" s="228"/>
      <c r="VDF34" s="228"/>
      <c r="VDG34" s="228"/>
      <c r="VDH34" s="228"/>
      <c r="VDI34" s="228"/>
      <c r="VDJ34" s="228"/>
      <c r="VDK34" s="228"/>
      <c r="VDL34" s="228"/>
      <c r="VDM34" s="228"/>
      <c r="VDN34" s="228"/>
      <c r="VDO34" s="228"/>
      <c r="VDP34" s="228"/>
      <c r="VDQ34" s="228"/>
      <c r="VDR34" s="228"/>
      <c r="VDS34" s="228"/>
      <c r="VDT34" s="228"/>
      <c r="VDU34" s="228"/>
      <c r="VDV34" s="228"/>
      <c r="VDW34" s="228"/>
      <c r="VDX34" s="228"/>
      <c r="VDY34" s="228"/>
      <c r="VDZ34" s="228"/>
      <c r="VEA34" s="228"/>
      <c r="VEB34" s="228"/>
      <c r="VEC34" s="228"/>
      <c r="VED34" s="228"/>
      <c r="VEE34" s="228"/>
      <c r="VEF34" s="228"/>
      <c r="VEG34" s="228"/>
      <c r="VEH34" s="228"/>
      <c r="VEI34" s="228"/>
      <c r="VEJ34" s="228"/>
      <c r="VEK34" s="228"/>
      <c r="VEL34" s="228"/>
      <c r="VEM34" s="228"/>
      <c r="VEN34" s="228"/>
      <c r="VEO34" s="228"/>
      <c r="VEP34" s="228"/>
      <c r="VEQ34" s="228"/>
      <c r="VER34" s="228"/>
      <c r="VES34" s="228"/>
      <c r="VET34" s="228"/>
      <c r="VEU34" s="228"/>
      <c r="VEV34" s="228"/>
      <c r="VEW34" s="228"/>
      <c r="VEX34" s="228"/>
      <c r="VEY34" s="228"/>
      <c r="VEZ34" s="228"/>
      <c r="VFA34" s="228"/>
      <c r="VFB34" s="228"/>
      <c r="VFC34" s="228"/>
      <c r="VFD34" s="228"/>
      <c r="VFE34" s="228"/>
      <c r="VFF34" s="228"/>
      <c r="VFG34" s="228"/>
      <c r="VFH34" s="228"/>
      <c r="VFI34" s="228"/>
      <c r="VFJ34" s="228"/>
      <c r="VFK34" s="228"/>
      <c r="VFL34" s="228"/>
      <c r="VFM34" s="228"/>
      <c r="VFN34" s="228"/>
      <c r="VFO34" s="228"/>
      <c r="VFP34" s="228"/>
      <c r="VFQ34" s="228"/>
      <c r="VFR34" s="228"/>
      <c r="VFS34" s="228"/>
      <c r="VFT34" s="228"/>
      <c r="VFU34" s="228"/>
      <c r="VFV34" s="228"/>
      <c r="VFW34" s="228"/>
      <c r="VFX34" s="228"/>
      <c r="VFY34" s="228"/>
      <c r="VFZ34" s="228"/>
      <c r="VGA34" s="228"/>
      <c r="VGB34" s="228"/>
      <c r="VGC34" s="228"/>
      <c r="VGD34" s="228"/>
      <c r="VGE34" s="228"/>
      <c r="VGF34" s="228"/>
      <c r="VGG34" s="228"/>
      <c r="VGH34" s="228"/>
      <c r="VGI34" s="228"/>
      <c r="VGJ34" s="228"/>
      <c r="VGK34" s="228"/>
      <c r="VGL34" s="228"/>
      <c r="VGM34" s="228"/>
      <c r="VGN34" s="228"/>
      <c r="VGO34" s="228"/>
      <c r="VGP34" s="228"/>
      <c r="VGQ34" s="228"/>
      <c r="VGR34" s="228"/>
      <c r="VGS34" s="228"/>
      <c r="VGT34" s="228"/>
      <c r="VGU34" s="228"/>
      <c r="VGV34" s="228"/>
      <c r="VGW34" s="228"/>
      <c r="VGX34" s="228"/>
      <c r="VGY34" s="228"/>
      <c r="VGZ34" s="228"/>
      <c r="VHA34" s="228"/>
      <c r="VHB34" s="228"/>
      <c r="VHC34" s="228"/>
      <c r="VHD34" s="228"/>
      <c r="VHE34" s="228"/>
      <c r="VHF34" s="228"/>
      <c r="VHG34" s="228"/>
      <c r="VHH34" s="228"/>
      <c r="VHI34" s="228"/>
      <c r="VHJ34" s="228"/>
      <c r="VHK34" s="228"/>
      <c r="VHL34" s="228"/>
      <c r="VHM34" s="228"/>
      <c r="VHN34" s="228"/>
      <c r="VHO34" s="228"/>
      <c r="VHP34" s="228"/>
      <c r="VHQ34" s="228"/>
      <c r="VHR34" s="228"/>
      <c r="VHS34" s="228"/>
      <c r="VHT34" s="228"/>
      <c r="VHU34" s="228"/>
      <c r="VHV34" s="228"/>
      <c r="VHW34" s="228"/>
      <c r="VHX34" s="228"/>
      <c r="VHY34" s="228"/>
      <c r="VHZ34" s="228"/>
      <c r="VIA34" s="228"/>
      <c r="VIB34" s="228"/>
      <c r="VIC34" s="228"/>
      <c r="VID34" s="228"/>
      <c r="VIE34" s="228"/>
      <c r="VIF34" s="228"/>
      <c r="VIG34" s="228"/>
      <c r="VIH34" s="228"/>
      <c r="VII34" s="228"/>
      <c r="VIJ34" s="228"/>
      <c r="VIK34" s="228"/>
      <c r="VIL34" s="228"/>
      <c r="VIM34" s="228"/>
      <c r="VIN34" s="228"/>
      <c r="VIO34" s="228"/>
      <c r="VIP34" s="228"/>
      <c r="VIQ34" s="228"/>
      <c r="VIR34" s="228"/>
      <c r="VIS34" s="228"/>
      <c r="VIT34" s="228"/>
      <c r="VIU34" s="228"/>
      <c r="VIV34" s="228"/>
      <c r="VIW34" s="228"/>
      <c r="VIX34" s="228"/>
      <c r="VIY34" s="228"/>
      <c r="VIZ34" s="228"/>
      <c r="VJA34" s="228"/>
      <c r="VJB34" s="228"/>
      <c r="VJC34" s="228"/>
      <c r="VJD34" s="228"/>
      <c r="VJE34" s="228"/>
      <c r="VJF34" s="228"/>
      <c r="VJG34" s="228"/>
      <c r="VJH34" s="228"/>
      <c r="VJI34" s="228"/>
      <c r="VJJ34" s="228"/>
      <c r="VJK34" s="228"/>
      <c r="VJL34" s="228"/>
      <c r="VJM34" s="228"/>
      <c r="VJN34" s="228"/>
      <c r="VJO34" s="228"/>
      <c r="VJP34" s="228"/>
      <c r="VJQ34" s="228"/>
      <c r="VJR34" s="228"/>
      <c r="VJS34" s="228"/>
      <c r="VJT34" s="228"/>
      <c r="VJU34" s="228"/>
      <c r="VJV34" s="228"/>
      <c r="VJW34" s="228"/>
      <c r="VJX34" s="228"/>
      <c r="VJY34" s="228"/>
      <c r="VJZ34" s="228"/>
      <c r="VKA34" s="228"/>
      <c r="VKB34" s="228"/>
      <c r="VKC34" s="228"/>
      <c r="VKD34" s="228"/>
      <c r="VKE34" s="228"/>
      <c r="VKF34" s="228"/>
      <c r="VKG34" s="228"/>
      <c r="VKH34" s="228"/>
      <c r="VKI34" s="228"/>
      <c r="VKJ34" s="228"/>
      <c r="VKK34" s="228"/>
      <c r="VKL34" s="228"/>
      <c r="VKM34" s="228"/>
      <c r="VKN34" s="228"/>
      <c r="VKO34" s="228"/>
      <c r="VKP34" s="228"/>
      <c r="VKQ34" s="228"/>
      <c r="VKR34" s="228"/>
      <c r="VKS34" s="228"/>
      <c r="VKT34" s="228"/>
      <c r="VKU34" s="228"/>
      <c r="VKV34" s="228"/>
      <c r="VKW34" s="228"/>
      <c r="VKX34" s="228"/>
      <c r="VKY34" s="228"/>
      <c r="VKZ34" s="228"/>
      <c r="VLA34" s="228"/>
      <c r="VLB34" s="228"/>
      <c r="VLC34" s="228"/>
      <c r="VLD34" s="228"/>
      <c r="VLE34" s="228"/>
      <c r="VLF34" s="228"/>
      <c r="VLG34" s="228"/>
      <c r="VLH34" s="228"/>
      <c r="VLI34" s="228"/>
      <c r="VLJ34" s="228"/>
      <c r="VLK34" s="228"/>
      <c r="VLL34" s="228"/>
      <c r="VLM34" s="228"/>
      <c r="VLN34" s="228"/>
      <c r="VLO34" s="228"/>
      <c r="VLP34" s="228"/>
      <c r="VLQ34" s="228"/>
      <c r="VLR34" s="228"/>
      <c r="VLS34" s="228"/>
      <c r="VLT34" s="228"/>
      <c r="VLU34" s="228"/>
      <c r="VLV34" s="228"/>
      <c r="VLW34" s="228"/>
      <c r="VLX34" s="228"/>
      <c r="VLY34" s="228"/>
      <c r="VLZ34" s="228"/>
      <c r="VMA34" s="228"/>
      <c r="VMB34" s="228"/>
      <c r="VMC34" s="228"/>
      <c r="VMD34" s="228"/>
      <c r="VME34" s="228"/>
      <c r="VMF34" s="228"/>
      <c r="VMG34" s="228"/>
      <c r="VMH34" s="228"/>
      <c r="VMI34" s="228"/>
      <c r="VMJ34" s="228"/>
      <c r="VMK34" s="228"/>
      <c r="VML34" s="228"/>
      <c r="VMM34" s="228"/>
      <c r="VMN34" s="228"/>
      <c r="VMO34" s="228"/>
      <c r="VMP34" s="228"/>
      <c r="VMQ34" s="228"/>
      <c r="VMR34" s="228"/>
      <c r="VMS34" s="228"/>
      <c r="VMT34" s="228"/>
      <c r="VMU34" s="228"/>
      <c r="VMV34" s="228"/>
      <c r="VMW34" s="228"/>
      <c r="VMX34" s="228"/>
      <c r="VMY34" s="228"/>
      <c r="VMZ34" s="228"/>
      <c r="VNA34" s="228"/>
      <c r="VNB34" s="228"/>
      <c r="VNC34" s="228"/>
      <c r="VND34" s="228"/>
      <c r="VNE34" s="228"/>
      <c r="VNF34" s="228"/>
      <c r="VNG34" s="228"/>
      <c r="VNH34" s="228"/>
      <c r="VNI34" s="228"/>
      <c r="VNJ34" s="228"/>
      <c r="VNK34" s="228"/>
      <c r="VNL34" s="228"/>
      <c r="VNM34" s="228"/>
      <c r="VNN34" s="228"/>
      <c r="VNO34" s="228"/>
      <c r="VNP34" s="228"/>
      <c r="VNQ34" s="228"/>
      <c r="VNR34" s="228"/>
      <c r="VNS34" s="228"/>
      <c r="VNT34" s="228"/>
      <c r="VNU34" s="228"/>
      <c r="VNV34" s="228"/>
      <c r="VNW34" s="228"/>
      <c r="VNX34" s="228"/>
      <c r="VNY34" s="228"/>
      <c r="VNZ34" s="228"/>
      <c r="VOA34" s="228"/>
      <c r="VOB34" s="228"/>
      <c r="VOC34" s="228"/>
      <c r="VOD34" s="228"/>
      <c r="VOE34" s="228"/>
      <c r="VOF34" s="228"/>
      <c r="VOG34" s="228"/>
      <c r="VOH34" s="228"/>
      <c r="VOI34" s="228"/>
      <c r="VOJ34" s="228"/>
      <c r="VOK34" s="228"/>
      <c r="VOL34" s="228"/>
      <c r="VOM34" s="228"/>
      <c r="VON34" s="228"/>
      <c r="VOO34" s="228"/>
      <c r="VOP34" s="228"/>
      <c r="VOQ34" s="228"/>
      <c r="VOR34" s="228"/>
      <c r="VOS34" s="228"/>
      <c r="VOT34" s="228"/>
      <c r="VOU34" s="228"/>
      <c r="VOV34" s="228"/>
      <c r="VOW34" s="228"/>
      <c r="VOX34" s="228"/>
      <c r="VOY34" s="228"/>
      <c r="VOZ34" s="228"/>
      <c r="VPA34" s="228"/>
      <c r="VPB34" s="228"/>
      <c r="VPC34" s="228"/>
      <c r="VPD34" s="228"/>
      <c r="VPE34" s="228"/>
      <c r="VPF34" s="228"/>
      <c r="VPG34" s="228"/>
      <c r="VPH34" s="228"/>
      <c r="VPI34" s="228"/>
      <c r="VPJ34" s="228"/>
      <c r="VPK34" s="228"/>
      <c r="VPL34" s="228"/>
      <c r="VPM34" s="228"/>
      <c r="VPN34" s="228"/>
      <c r="VPO34" s="228"/>
      <c r="VPP34" s="228"/>
      <c r="VPQ34" s="228"/>
      <c r="VPR34" s="228"/>
      <c r="VPS34" s="228"/>
      <c r="VPT34" s="228"/>
      <c r="VPU34" s="228"/>
      <c r="VPV34" s="228"/>
      <c r="VPW34" s="228"/>
      <c r="VPX34" s="228"/>
      <c r="VPY34" s="228"/>
      <c r="VPZ34" s="228"/>
      <c r="VQA34" s="228"/>
      <c r="VQB34" s="228"/>
      <c r="VQC34" s="228"/>
      <c r="VQD34" s="228"/>
      <c r="VQE34" s="228"/>
      <c r="VQF34" s="228"/>
      <c r="VQG34" s="228"/>
      <c r="VQH34" s="228"/>
      <c r="VQI34" s="228"/>
      <c r="VQJ34" s="228"/>
      <c r="VQK34" s="228"/>
      <c r="VQL34" s="228"/>
      <c r="VQM34" s="228"/>
      <c r="VQN34" s="228"/>
      <c r="VQO34" s="228"/>
      <c r="VQP34" s="228"/>
      <c r="VQQ34" s="228"/>
      <c r="VQR34" s="228"/>
      <c r="VQS34" s="228"/>
      <c r="VQT34" s="228"/>
      <c r="VQU34" s="228"/>
      <c r="VQV34" s="228"/>
      <c r="VQW34" s="228"/>
      <c r="VQX34" s="228"/>
      <c r="VQY34" s="228"/>
      <c r="VQZ34" s="228"/>
      <c r="VRA34" s="228"/>
      <c r="VRB34" s="228"/>
      <c r="VRC34" s="228"/>
      <c r="VRD34" s="228"/>
      <c r="VRE34" s="228"/>
      <c r="VRF34" s="228"/>
      <c r="VRG34" s="228"/>
      <c r="VRH34" s="228"/>
      <c r="VRI34" s="228"/>
      <c r="VRJ34" s="228"/>
      <c r="VRK34" s="228"/>
      <c r="VRL34" s="228"/>
      <c r="VRM34" s="228"/>
      <c r="VRN34" s="228"/>
      <c r="VRO34" s="228"/>
      <c r="VRP34" s="228"/>
      <c r="VRQ34" s="228"/>
      <c r="VRR34" s="228"/>
      <c r="VRS34" s="228"/>
      <c r="VRT34" s="228"/>
      <c r="VRU34" s="228"/>
      <c r="VRV34" s="228"/>
      <c r="VRW34" s="228"/>
      <c r="VRX34" s="228"/>
      <c r="VRY34" s="228"/>
      <c r="VRZ34" s="228"/>
      <c r="VSA34" s="228"/>
      <c r="VSB34" s="228"/>
      <c r="VSC34" s="228"/>
      <c r="VSD34" s="228"/>
      <c r="VSE34" s="228"/>
      <c r="VSF34" s="228"/>
      <c r="VSG34" s="228"/>
      <c r="VSH34" s="228"/>
      <c r="VSI34" s="228"/>
      <c r="VSJ34" s="228"/>
      <c r="VSK34" s="228"/>
      <c r="VSL34" s="228"/>
      <c r="VSM34" s="228"/>
      <c r="VSN34" s="228"/>
      <c r="VSO34" s="228"/>
      <c r="VSP34" s="228"/>
      <c r="VSQ34" s="228"/>
      <c r="VSR34" s="228"/>
      <c r="VSS34" s="228"/>
      <c r="VST34" s="228"/>
      <c r="VSU34" s="228"/>
      <c r="VSV34" s="228"/>
      <c r="VSW34" s="228"/>
      <c r="VSX34" s="228"/>
      <c r="VSY34" s="228"/>
      <c r="VSZ34" s="228"/>
      <c r="VTA34" s="228"/>
      <c r="VTB34" s="228"/>
      <c r="VTC34" s="228"/>
      <c r="VTD34" s="228"/>
      <c r="VTE34" s="228"/>
      <c r="VTF34" s="228"/>
      <c r="VTG34" s="228"/>
      <c r="VTH34" s="228"/>
      <c r="VTI34" s="228"/>
      <c r="VTJ34" s="228"/>
      <c r="VTK34" s="228"/>
      <c r="VTL34" s="228"/>
      <c r="VTM34" s="228"/>
      <c r="VTN34" s="228"/>
      <c r="VTO34" s="228"/>
      <c r="VTP34" s="228"/>
      <c r="VTQ34" s="228"/>
      <c r="VTR34" s="228"/>
      <c r="VTS34" s="228"/>
      <c r="VTT34" s="228"/>
      <c r="VTU34" s="228"/>
      <c r="VTV34" s="228"/>
      <c r="VTW34" s="228"/>
      <c r="VTX34" s="228"/>
      <c r="VTY34" s="228"/>
      <c r="VTZ34" s="228"/>
      <c r="VUA34" s="228"/>
      <c r="VUB34" s="228"/>
      <c r="VUC34" s="228"/>
      <c r="VUD34" s="228"/>
      <c r="VUE34" s="228"/>
      <c r="VUF34" s="228"/>
      <c r="VUG34" s="228"/>
      <c r="VUH34" s="228"/>
      <c r="VUI34" s="228"/>
      <c r="VUJ34" s="228"/>
      <c r="VUK34" s="228"/>
      <c r="VUL34" s="228"/>
      <c r="VUM34" s="228"/>
      <c r="VUN34" s="228"/>
      <c r="VUO34" s="228"/>
      <c r="VUP34" s="228"/>
      <c r="VUQ34" s="228"/>
      <c r="VUR34" s="228"/>
      <c r="VUS34" s="228"/>
      <c r="VUT34" s="228"/>
      <c r="VUU34" s="228"/>
      <c r="VUV34" s="228"/>
      <c r="VUW34" s="228"/>
      <c r="VUX34" s="228"/>
      <c r="VUY34" s="228"/>
      <c r="VUZ34" s="228"/>
      <c r="VVA34" s="228"/>
      <c r="VVB34" s="228"/>
      <c r="VVC34" s="228"/>
      <c r="VVD34" s="228"/>
      <c r="VVE34" s="228"/>
      <c r="VVF34" s="228"/>
      <c r="VVG34" s="228"/>
      <c r="VVH34" s="228"/>
      <c r="VVI34" s="228"/>
      <c r="VVJ34" s="228"/>
      <c r="VVK34" s="228"/>
      <c r="VVL34" s="228"/>
      <c r="VVM34" s="228"/>
      <c r="VVN34" s="228"/>
      <c r="VVO34" s="228"/>
      <c r="VVP34" s="228"/>
      <c r="VVQ34" s="228"/>
      <c r="VVR34" s="228"/>
      <c r="VVS34" s="228"/>
      <c r="VVT34" s="228"/>
      <c r="VVU34" s="228"/>
      <c r="VVV34" s="228"/>
      <c r="VVW34" s="228"/>
      <c r="VVX34" s="228"/>
      <c r="VVY34" s="228"/>
      <c r="VVZ34" s="228"/>
      <c r="VWA34" s="228"/>
      <c r="VWB34" s="228"/>
      <c r="VWC34" s="228"/>
      <c r="VWD34" s="228"/>
      <c r="VWE34" s="228"/>
      <c r="VWF34" s="228"/>
      <c r="VWG34" s="228"/>
      <c r="VWH34" s="228"/>
      <c r="VWI34" s="228"/>
      <c r="VWJ34" s="228"/>
      <c r="VWK34" s="228"/>
      <c r="VWL34" s="228"/>
      <c r="VWM34" s="228"/>
      <c r="VWN34" s="228"/>
      <c r="VWO34" s="228"/>
      <c r="VWP34" s="228"/>
      <c r="VWQ34" s="228"/>
      <c r="VWR34" s="228"/>
      <c r="VWS34" s="228"/>
      <c r="VWT34" s="228"/>
      <c r="VWU34" s="228"/>
      <c r="VWV34" s="228"/>
      <c r="VWW34" s="228"/>
      <c r="VWX34" s="228"/>
      <c r="VWY34" s="228"/>
      <c r="VWZ34" s="228"/>
      <c r="VXA34" s="228"/>
      <c r="VXB34" s="228"/>
      <c r="VXC34" s="228"/>
      <c r="VXD34" s="228"/>
      <c r="VXE34" s="228"/>
      <c r="VXF34" s="228"/>
      <c r="VXG34" s="228"/>
      <c r="VXH34" s="228"/>
      <c r="VXI34" s="228"/>
      <c r="VXJ34" s="228"/>
      <c r="VXK34" s="228"/>
      <c r="VXL34" s="228"/>
      <c r="VXM34" s="228"/>
      <c r="VXN34" s="228"/>
      <c r="VXO34" s="228"/>
      <c r="VXP34" s="228"/>
      <c r="VXQ34" s="228"/>
      <c r="VXR34" s="228"/>
      <c r="VXS34" s="228"/>
      <c r="VXT34" s="228"/>
      <c r="VXU34" s="228"/>
      <c r="VXV34" s="228"/>
      <c r="VXW34" s="228"/>
      <c r="VXX34" s="228"/>
      <c r="VXY34" s="228"/>
      <c r="VXZ34" s="228"/>
      <c r="VYA34" s="228"/>
      <c r="VYB34" s="228"/>
      <c r="VYC34" s="228"/>
      <c r="VYD34" s="228"/>
      <c r="VYE34" s="228"/>
      <c r="VYF34" s="228"/>
      <c r="VYG34" s="228"/>
      <c r="VYH34" s="228"/>
      <c r="VYI34" s="228"/>
      <c r="VYJ34" s="228"/>
      <c r="VYK34" s="228"/>
      <c r="VYL34" s="228"/>
      <c r="VYM34" s="228"/>
      <c r="VYN34" s="228"/>
      <c r="VYO34" s="228"/>
      <c r="VYP34" s="228"/>
      <c r="VYQ34" s="228"/>
      <c r="VYR34" s="228"/>
      <c r="VYS34" s="228"/>
      <c r="VYT34" s="228"/>
      <c r="VYU34" s="228"/>
      <c r="VYV34" s="228"/>
      <c r="VYW34" s="228"/>
      <c r="VYX34" s="228"/>
      <c r="VYY34" s="228"/>
      <c r="VYZ34" s="228"/>
      <c r="VZA34" s="228"/>
      <c r="VZB34" s="228"/>
      <c r="VZC34" s="228"/>
      <c r="VZD34" s="228"/>
      <c r="VZE34" s="228"/>
      <c r="VZF34" s="228"/>
      <c r="VZG34" s="228"/>
      <c r="VZH34" s="228"/>
      <c r="VZI34" s="228"/>
      <c r="VZJ34" s="228"/>
      <c r="VZK34" s="228"/>
      <c r="VZL34" s="228"/>
      <c r="VZM34" s="228"/>
      <c r="VZN34" s="228"/>
      <c r="VZO34" s="228"/>
      <c r="VZP34" s="228"/>
      <c r="VZQ34" s="228"/>
      <c r="VZR34" s="228"/>
      <c r="VZS34" s="228"/>
      <c r="VZT34" s="228"/>
      <c r="VZU34" s="228"/>
      <c r="VZV34" s="228"/>
      <c r="VZW34" s="228"/>
      <c r="VZX34" s="228"/>
      <c r="VZY34" s="228"/>
      <c r="VZZ34" s="228"/>
      <c r="WAA34" s="228"/>
      <c r="WAB34" s="228"/>
      <c r="WAC34" s="228"/>
      <c r="WAD34" s="228"/>
      <c r="WAE34" s="228"/>
      <c r="WAF34" s="228"/>
      <c r="WAG34" s="228"/>
      <c r="WAH34" s="228"/>
      <c r="WAI34" s="228"/>
      <c r="WAJ34" s="228"/>
      <c r="WAK34" s="228"/>
      <c r="WAL34" s="228"/>
      <c r="WAM34" s="228"/>
      <c r="WAN34" s="228"/>
      <c r="WAO34" s="228"/>
      <c r="WAP34" s="228"/>
      <c r="WAQ34" s="228"/>
      <c r="WAR34" s="228"/>
      <c r="WAS34" s="228"/>
      <c r="WAT34" s="228"/>
      <c r="WAU34" s="228"/>
      <c r="WAV34" s="228"/>
      <c r="WAW34" s="228"/>
      <c r="WAX34" s="228"/>
      <c r="WAY34" s="228"/>
      <c r="WAZ34" s="228"/>
      <c r="WBA34" s="228"/>
      <c r="WBB34" s="228"/>
      <c r="WBC34" s="228"/>
      <c r="WBD34" s="228"/>
      <c r="WBE34" s="228"/>
      <c r="WBF34" s="228"/>
      <c r="WBG34" s="228"/>
      <c r="WBH34" s="228"/>
      <c r="WBI34" s="228"/>
      <c r="WBJ34" s="228"/>
      <c r="WBK34" s="228"/>
      <c r="WBL34" s="228"/>
      <c r="WBM34" s="228"/>
      <c r="WBN34" s="228"/>
      <c r="WBO34" s="228"/>
      <c r="WBP34" s="228"/>
      <c r="WBQ34" s="228"/>
      <c r="WBR34" s="228"/>
      <c r="WBS34" s="228"/>
      <c r="WBT34" s="228"/>
      <c r="WBU34" s="228"/>
      <c r="WBV34" s="228"/>
      <c r="WBW34" s="228"/>
      <c r="WBX34" s="228"/>
      <c r="WBY34" s="228"/>
      <c r="WBZ34" s="228"/>
      <c r="WCA34" s="228"/>
      <c r="WCB34" s="228"/>
      <c r="WCC34" s="228"/>
      <c r="WCD34" s="228"/>
      <c r="WCE34" s="228"/>
      <c r="WCF34" s="228"/>
      <c r="WCG34" s="228"/>
      <c r="WCH34" s="228"/>
      <c r="WCI34" s="228"/>
      <c r="WCJ34" s="228"/>
      <c r="WCK34" s="228"/>
      <c r="WCL34" s="228"/>
      <c r="WCM34" s="228"/>
      <c r="WCN34" s="228"/>
      <c r="WCO34" s="228"/>
      <c r="WCP34" s="228"/>
      <c r="WCQ34" s="228"/>
      <c r="WCR34" s="228"/>
      <c r="WCS34" s="228"/>
      <c r="WCT34" s="228"/>
      <c r="WCU34" s="228"/>
      <c r="WCV34" s="228"/>
      <c r="WCW34" s="228"/>
      <c r="WCX34" s="228"/>
      <c r="WCY34" s="228"/>
      <c r="WCZ34" s="228"/>
      <c r="WDA34" s="228"/>
      <c r="WDB34" s="228"/>
      <c r="WDC34" s="228"/>
      <c r="WDD34" s="228"/>
      <c r="WDE34" s="228"/>
      <c r="WDF34" s="228"/>
      <c r="WDG34" s="228"/>
      <c r="WDH34" s="228"/>
      <c r="WDI34" s="228"/>
      <c r="WDJ34" s="228"/>
      <c r="WDK34" s="228"/>
      <c r="WDL34" s="228"/>
      <c r="WDM34" s="228"/>
      <c r="WDN34" s="228"/>
      <c r="WDO34" s="228"/>
      <c r="WDP34" s="228"/>
      <c r="WDQ34" s="228"/>
      <c r="WDR34" s="228"/>
      <c r="WDS34" s="228"/>
      <c r="WDT34" s="228"/>
      <c r="WDU34" s="228"/>
      <c r="WDV34" s="228"/>
      <c r="WDW34" s="228"/>
      <c r="WDX34" s="228"/>
      <c r="WDY34" s="228"/>
      <c r="WDZ34" s="228"/>
      <c r="WEA34" s="228"/>
      <c r="WEB34" s="228"/>
      <c r="WEC34" s="228"/>
      <c r="WED34" s="228"/>
      <c r="WEE34" s="228"/>
      <c r="WEF34" s="228"/>
      <c r="WEG34" s="228"/>
      <c r="WEH34" s="228"/>
      <c r="WEI34" s="228"/>
      <c r="WEJ34" s="228"/>
      <c r="WEK34" s="228"/>
      <c r="WEL34" s="228"/>
      <c r="WEM34" s="228"/>
      <c r="WEN34" s="228"/>
      <c r="WEO34" s="228"/>
      <c r="WEP34" s="228"/>
      <c r="WEQ34" s="228"/>
      <c r="WER34" s="228"/>
      <c r="WES34" s="228"/>
      <c r="WET34" s="228"/>
      <c r="WEU34" s="228"/>
      <c r="WEV34" s="228"/>
      <c r="WEW34" s="228"/>
      <c r="WEX34" s="228"/>
      <c r="WEY34" s="228"/>
      <c r="WEZ34" s="228"/>
      <c r="WFA34" s="228"/>
      <c r="WFB34" s="228"/>
      <c r="WFC34" s="228"/>
      <c r="WFD34" s="228"/>
      <c r="WFE34" s="228"/>
      <c r="WFF34" s="228"/>
      <c r="WFG34" s="228"/>
      <c r="WFH34" s="228"/>
      <c r="WFI34" s="228"/>
      <c r="WFJ34" s="228"/>
      <c r="WFK34" s="228"/>
      <c r="WFL34" s="228"/>
      <c r="WFM34" s="228"/>
      <c r="WFN34" s="228"/>
      <c r="WFO34" s="228"/>
      <c r="WFP34" s="228"/>
      <c r="WFQ34" s="228"/>
      <c r="WFR34" s="228"/>
      <c r="WFS34" s="228"/>
      <c r="WFT34" s="228"/>
      <c r="WFU34" s="228"/>
      <c r="WFV34" s="228"/>
      <c r="WFW34" s="228"/>
      <c r="WFX34" s="228"/>
      <c r="WFY34" s="228"/>
      <c r="WFZ34" s="228"/>
      <c r="WGA34" s="228"/>
      <c r="WGB34" s="228"/>
      <c r="WGC34" s="228"/>
      <c r="WGD34" s="228"/>
      <c r="WGE34" s="228"/>
      <c r="WGF34" s="228"/>
      <c r="WGG34" s="228"/>
      <c r="WGH34" s="228"/>
      <c r="WGI34" s="228"/>
      <c r="WGJ34" s="228"/>
      <c r="WGK34" s="228"/>
      <c r="WGL34" s="228"/>
      <c r="WGM34" s="228"/>
      <c r="WGN34" s="228"/>
      <c r="WGO34" s="228"/>
      <c r="WGP34" s="228"/>
      <c r="WGQ34" s="228"/>
      <c r="WGR34" s="228"/>
      <c r="WGS34" s="228"/>
      <c r="WGT34" s="228"/>
      <c r="WGU34" s="228"/>
      <c r="WGV34" s="228"/>
      <c r="WGW34" s="228"/>
      <c r="WGX34" s="228"/>
      <c r="WGY34" s="228"/>
      <c r="WGZ34" s="228"/>
      <c r="WHA34" s="228"/>
      <c r="WHB34" s="228"/>
      <c r="WHC34" s="228"/>
      <c r="WHD34" s="228"/>
      <c r="WHE34" s="228"/>
      <c r="WHF34" s="228"/>
      <c r="WHG34" s="228"/>
      <c r="WHH34" s="228"/>
      <c r="WHI34" s="228"/>
      <c r="WHJ34" s="228"/>
      <c r="WHK34" s="228"/>
      <c r="WHL34" s="228"/>
      <c r="WHM34" s="228"/>
      <c r="WHN34" s="228"/>
      <c r="WHO34" s="228"/>
      <c r="WHP34" s="228"/>
      <c r="WHQ34" s="228"/>
      <c r="WHR34" s="228"/>
      <c r="WHS34" s="228"/>
      <c r="WHT34" s="228"/>
      <c r="WHU34" s="228"/>
      <c r="WHV34" s="228"/>
      <c r="WHW34" s="228"/>
      <c r="WHX34" s="228"/>
      <c r="WHY34" s="228"/>
      <c r="WHZ34" s="228"/>
      <c r="WIA34" s="228"/>
      <c r="WIB34" s="228"/>
      <c r="WIC34" s="228"/>
      <c r="WID34" s="228"/>
      <c r="WIE34" s="228"/>
      <c r="WIF34" s="228"/>
      <c r="WIG34" s="228"/>
      <c r="WIH34" s="228"/>
      <c r="WII34" s="228"/>
      <c r="WIJ34" s="228"/>
      <c r="WIK34" s="228"/>
      <c r="WIL34" s="228"/>
      <c r="WIM34" s="228"/>
      <c r="WIN34" s="228"/>
      <c r="WIO34" s="228"/>
      <c r="WIP34" s="228"/>
      <c r="WIQ34" s="228"/>
      <c r="WIR34" s="228"/>
      <c r="WIS34" s="228"/>
      <c r="WIT34" s="228"/>
      <c r="WIU34" s="228"/>
      <c r="WIV34" s="228"/>
      <c r="WIW34" s="228"/>
      <c r="WIX34" s="228"/>
      <c r="WIY34" s="228"/>
      <c r="WIZ34" s="228"/>
      <c r="WJA34" s="228"/>
      <c r="WJB34" s="228"/>
      <c r="WJC34" s="228"/>
      <c r="WJD34" s="228"/>
      <c r="WJE34" s="228"/>
      <c r="WJF34" s="228"/>
      <c r="WJG34" s="228"/>
      <c r="WJH34" s="228"/>
      <c r="WJI34" s="228"/>
      <c r="WJJ34" s="228"/>
      <c r="WJK34" s="228"/>
      <c r="WJL34" s="228"/>
      <c r="WJM34" s="228"/>
      <c r="WJN34" s="228"/>
      <c r="WJO34" s="228"/>
      <c r="WJP34" s="228"/>
      <c r="WJQ34" s="228"/>
      <c r="WJR34" s="228"/>
      <c r="WJS34" s="228"/>
      <c r="WJT34" s="228"/>
      <c r="WJU34" s="228"/>
      <c r="WJV34" s="228"/>
      <c r="WJW34" s="228"/>
      <c r="WJX34" s="228"/>
      <c r="WJY34" s="228"/>
      <c r="WJZ34" s="228"/>
      <c r="WKA34" s="228"/>
      <c r="WKB34" s="228"/>
      <c r="WKC34" s="228"/>
      <c r="WKD34" s="228"/>
      <c r="WKE34" s="228"/>
      <c r="WKF34" s="228"/>
      <c r="WKG34" s="228"/>
      <c r="WKH34" s="228"/>
      <c r="WKI34" s="228"/>
      <c r="WKJ34" s="228"/>
      <c r="WKK34" s="228"/>
      <c r="WKL34" s="228"/>
      <c r="WKM34" s="228"/>
      <c r="WKN34" s="228"/>
      <c r="WKO34" s="228"/>
      <c r="WKP34" s="228"/>
      <c r="WKQ34" s="228"/>
      <c r="WKR34" s="228"/>
      <c r="WKS34" s="228"/>
      <c r="WKT34" s="228"/>
      <c r="WKU34" s="228"/>
      <c r="WKV34" s="228"/>
      <c r="WKW34" s="228"/>
      <c r="WKX34" s="228"/>
      <c r="WKY34" s="228"/>
      <c r="WKZ34" s="228"/>
      <c r="WLA34" s="228"/>
      <c r="WLB34" s="228"/>
      <c r="WLC34" s="228"/>
      <c r="WLD34" s="228"/>
      <c r="WLE34" s="228"/>
      <c r="WLF34" s="228"/>
      <c r="WLG34" s="228"/>
      <c r="WLH34" s="228"/>
      <c r="WLI34" s="228"/>
      <c r="WLJ34" s="228"/>
      <c r="WLK34" s="228"/>
      <c r="WLL34" s="228"/>
      <c r="WLM34" s="228"/>
      <c r="WLN34" s="228"/>
      <c r="WLO34" s="228"/>
      <c r="WLP34" s="228"/>
      <c r="WLQ34" s="228"/>
      <c r="WLR34" s="228"/>
      <c r="WLS34" s="228"/>
      <c r="WLT34" s="228"/>
      <c r="WLU34" s="228"/>
      <c r="WLV34" s="228"/>
      <c r="WLW34" s="228"/>
      <c r="WLX34" s="228"/>
      <c r="WLY34" s="228"/>
      <c r="WLZ34" s="228"/>
      <c r="WMA34" s="228"/>
      <c r="WMB34" s="228"/>
      <c r="WMC34" s="228"/>
      <c r="WMD34" s="228"/>
      <c r="WME34" s="228"/>
      <c r="WMF34" s="228"/>
      <c r="WMG34" s="228"/>
      <c r="WMH34" s="228"/>
      <c r="WMI34" s="228"/>
      <c r="WMJ34" s="228"/>
      <c r="WMK34" s="228"/>
      <c r="WML34" s="228"/>
      <c r="WMM34" s="228"/>
      <c r="WMN34" s="228"/>
      <c r="WMO34" s="228"/>
      <c r="WMP34" s="228"/>
      <c r="WMQ34" s="228"/>
      <c r="WMR34" s="228"/>
      <c r="WMS34" s="228"/>
      <c r="WMT34" s="228"/>
      <c r="WMU34" s="228"/>
      <c r="WMV34" s="228"/>
      <c r="WMW34" s="228"/>
      <c r="WMX34" s="228"/>
      <c r="WMY34" s="228"/>
      <c r="WMZ34" s="228"/>
      <c r="WNA34" s="228"/>
      <c r="WNB34" s="228"/>
      <c r="WNC34" s="228"/>
      <c r="WND34" s="228"/>
      <c r="WNE34" s="228"/>
      <c r="WNF34" s="228"/>
      <c r="WNG34" s="228"/>
      <c r="WNH34" s="228"/>
      <c r="WNI34" s="228"/>
      <c r="WNJ34" s="228"/>
      <c r="WNK34" s="228"/>
      <c r="WNL34" s="228"/>
      <c r="WNM34" s="228"/>
      <c r="WNN34" s="228"/>
      <c r="WNO34" s="228"/>
      <c r="WNP34" s="228"/>
      <c r="WNQ34" s="228"/>
      <c r="WNR34" s="228"/>
      <c r="WNS34" s="228"/>
      <c r="WNT34" s="228"/>
      <c r="WNU34" s="228"/>
      <c r="WNV34" s="228"/>
      <c r="WNW34" s="228"/>
      <c r="WNX34" s="228"/>
      <c r="WNY34" s="228"/>
      <c r="WNZ34" s="228"/>
      <c r="WOA34" s="228"/>
      <c r="WOB34" s="228"/>
      <c r="WOC34" s="228"/>
      <c r="WOD34" s="228"/>
      <c r="WOE34" s="228"/>
      <c r="WOF34" s="228"/>
      <c r="WOG34" s="228"/>
      <c r="WOH34" s="228"/>
      <c r="WOI34" s="228"/>
      <c r="WOJ34" s="228"/>
      <c r="WOK34" s="228"/>
      <c r="WOL34" s="228"/>
      <c r="WOM34" s="228"/>
      <c r="WON34" s="228"/>
      <c r="WOO34" s="228"/>
      <c r="WOP34" s="228"/>
      <c r="WOQ34" s="228"/>
      <c r="WOR34" s="228"/>
      <c r="WOS34" s="228"/>
      <c r="WOT34" s="228"/>
      <c r="WOU34" s="228"/>
      <c r="WOV34" s="228"/>
      <c r="WOW34" s="228"/>
      <c r="WOX34" s="228"/>
      <c r="WOY34" s="228"/>
      <c r="WOZ34" s="228"/>
      <c r="WPA34" s="228"/>
      <c r="WPB34" s="228"/>
      <c r="WPC34" s="228"/>
      <c r="WPD34" s="228"/>
      <c r="WPE34" s="228"/>
      <c r="WPF34" s="228"/>
      <c r="WPG34" s="228"/>
      <c r="WPH34" s="228"/>
      <c r="WPI34" s="228"/>
      <c r="WPJ34" s="228"/>
      <c r="WPK34" s="228"/>
      <c r="WPL34" s="228"/>
      <c r="WPM34" s="228"/>
      <c r="WPN34" s="228"/>
      <c r="WPO34" s="228"/>
      <c r="WPP34" s="228"/>
      <c r="WPQ34" s="228"/>
      <c r="WPR34" s="228"/>
      <c r="WPS34" s="228"/>
      <c r="WPT34" s="228"/>
      <c r="WPU34" s="228"/>
      <c r="WPV34" s="228"/>
      <c r="WPW34" s="228"/>
      <c r="WPX34" s="228"/>
      <c r="WPY34" s="228"/>
      <c r="WPZ34" s="228"/>
      <c r="WQA34" s="228"/>
      <c r="WQB34" s="228"/>
      <c r="WQC34" s="228"/>
      <c r="WQD34" s="228"/>
      <c r="WQE34" s="228"/>
      <c r="WQF34" s="228"/>
      <c r="WQG34" s="228"/>
      <c r="WQH34" s="228"/>
      <c r="WQI34" s="228"/>
      <c r="WQJ34" s="228"/>
      <c r="WQK34" s="228"/>
      <c r="WQL34" s="228"/>
      <c r="WQM34" s="228"/>
      <c r="WQN34" s="228"/>
      <c r="WQO34" s="228"/>
      <c r="WQP34" s="228"/>
      <c r="WQQ34" s="228"/>
      <c r="WQR34" s="228"/>
      <c r="WQS34" s="228"/>
      <c r="WQT34" s="228"/>
      <c r="WQU34" s="228"/>
      <c r="WQV34" s="228"/>
      <c r="WQW34" s="228"/>
      <c r="WQX34" s="228"/>
      <c r="WQY34" s="228"/>
      <c r="WQZ34" s="228"/>
      <c r="WRA34" s="228"/>
      <c r="WRB34" s="228"/>
      <c r="WRC34" s="228"/>
      <c r="WRD34" s="228"/>
      <c r="WRE34" s="228"/>
      <c r="WRF34" s="228"/>
      <c r="WRG34" s="228"/>
      <c r="WRH34" s="228"/>
      <c r="WRI34" s="228"/>
      <c r="WRJ34" s="228"/>
      <c r="WRK34" s="228"/>
      <c r="WRL34" s="228"/>
      <c r="WRM34" s="228"/>
      <c r="WRN34" s="228"/>
      <c r="WRO34" s="228"/>
      <c r="WRP34" s="228"/>
      <c r="WRQ34" s="228"/>
      <c r="WRR34" s="228"/>
      <c r="WRS34" s="228"/>
      <c r="WRT34" s="228"/>
      <c r="WRU34" s="228"/>
      <c r="WRV34" s="228"/>
      <c r="WRW34" s="228"/>
      <c r="WRX34" s="228"/>
      <c r="WRY34" s="228"/>
      <c r="WRZ34" s="228"/>
      <c r="WSA34" s="228"/>
      <c r="WSB34" s="228"/>
      <c r="WSC34" s="228"/>
      <c r="WSD34" s="228"/>
      <c r="WSE34" s="228"/>
      <c r="WSF34" s="228"/>
      <c r="WSG34" s="228"/>
      <c r="WSH34" s="228"/>
      <c r="WSI34" s="228"/>
      <c r="WSJ34" s="228"/>
      <c r="WSK34" s="228"/>
      <c r="WSL34" s="228"/>
      <c r="WSM34" s="228"/>
      <c r="WSN34" s="228"/>
      <c r="WSO34" s="228"/>
      <c r="WSP34" s="228"/>
      <c r="WSQ34" s="228"/>
      <c r="WSR34" s="228"/>
      <c r="WSS34" s="228"/>
      <c r="WST34" s="228"/>
      <c r="WSU34" s="228"/>
      <c r="WSV34" s="228"/>
      <c r="WSW34" s="228"/>
      <c r="WSX34" s="228"/>
      <c r="WSY34" s="228"/>
      <c r="WSZ34" s="228"/>
      <c r="WTA34" s="228"/>
      <c r="WTB34" s="228"/>
      <c r="WTC34" s="228"/>
      <c r="WTD34" s="228"/>
      <c r="WTE34" s="228"/>
      <c r="WTF34" s="228"/>
      <c r="WTG34" s="228"/>
      <c r="WTH34" s="228"/>
      <c r="WTI34" s="228"/>
      <c r="WTJ34" s="228"/>
      <c r="WTK34" s="228"/>
      <c r="WTL34" s="228"/>
      <c r="WTM34" s="228"/>
      <c r="WTN34" s="228"/>
      <c r="WTO34" s="228"/>
      <c r="WTP34" s="228"/>
      <c r="WTQ34" s="228"/>
      <c r="WTR34" s="228"/>
      <c r="WTS34" s="228"/>
      <c r="WTT34" s="228"/>
      <c r="WTU34" s="228"/>
      <c r="WTV34" s="228"/>
      <c r="WTW34" s="228"/>
      <c r="WTX34" s="228"/>
      <c r="WTY34" s="228"/>
      <c r="WTZ34" s="228"/>
      <c r="WUA34" s="228"/>
      <c r="WUB34" s="228"/>
      <c r="WUC34" s="228"/>
      <c r="WUD34" s="228"/>
      <c r="WUE34" s="228"/>
      <c r="WUF34" s="228"/>
      <c r="WUG34" s="228"/>
      <c r="WUH34" s="228"/>
      <c r="WUI34" s="228"/>
      <c r="WUJ34" s="228"/>
      <c r="WUK34" s="228"/>
      <c r="WUL34" s="228"/>
      <c r="WUM34" s="228"/>
      <c r="WUN34" s="228"/>
      <c r="WUO34" s="228"/>
      <c r="WUP34" s="228"/>
      <c r="WUQ34" s="228"/>
      <c r="WUR34" s="228"/>
      <c r="WUS34" s="228"/>
      <c r="WUT34" s="228"/>
      <c r="WUU34" s="228"/>
      <c r="WUV34" s="228"/>
      <c r="WUW34" s="228"/>
      <c r="WUX34" s="228"/>
      <c r="WUY34" s="228"/>
      <c r="WUZ34" s="228"/>
      <c r="WVA34" s="228"/>
      <c r="WVB34" s="228"/>
      <c r="WVC34" s="228"/>
      <c r="WVD34" s="228"/>
      <c r="WVE34" s="228"/>
      <c r="WVF34" s="228"/>
      <c r="WVG34" s="228"/>
      <c r="WVH34" s="228"/>
      <c r="WVI34" s="228"/>
      <c r="WVJ34" s="228"/>
      <c r="WVK34" s="228"/>
      <c r="WVL34" s="228"/>
      <c r="WVM34" s="228"/>
      <c r="WVN34" s="228"/>
      <c r="WVO34" s="228"/>
      <c r="WVP34" s="228"/>
      <c r="WVQ34" s="228"/>
      <c r="WVR34" s="228"/>
      <c r="WVS34" s="228"/>
      <c r="WVT34" s="228"/>
      <c r="WVU34" s="228"/>
      <c r="WVV34" s="228"/>
      <c r="WVW34" s="228"/>
      <c r="WVX34" s="228"/>
      <c r="WVY34" s="228"/>
      <c r="WVZ34" s="228"/>
      <c r="WWA34" s="228"/>
      <c r="WWB34" s="228"/>
      <c r="WWC34" s="228"/>
      <c r="WWD34" s="228"/>
      <c r="WWE34" s="228"/>
      <c r="WWF34" s="228"/>
      <c r="WWG34" s="228"/>
      <c r="WWH34" s="228"/>
      <c r="WWI34" s="228"/>
      <c r="WWJ34" s="228"/>
      <c r="WWK34" s="228"/>
      <c r="WWL34" s="228"/>
      <c r="WWM34" s="228"/>
      <c r="WWN34" s="228"/>
      <c r="WWO34" s="228"/>
      <c r="WWP34" s="228"/>
      <c r="WWQ34" s="228"/>
      <c r="WWR34" s="228"/>
      <c r="WWS34" s="228"/>
      <c r="WWT34" s="228"/>
      <c r="WWU34" s="228"/>
      <c r="WWV34" s="228"/>
      <c r="WWW34" s="228"/>
      <c r="WWX34" s="228"/>
      <c r="WWY34" s="228"/>
      <c r="WWZ34" s="228"/>
      <c r="WXA34" s="228"/>
      <c r="WXB34" s="228"/>
      <c r="WXC34" s="228"/>
      <c r="WXD34" s="228"/>
      <c r="WXE34" s="228"/>
      <c r="WXF34" s="228"/>
      <c r="WXG34" s="228"/>
      <c r="WXH34" s="228"/>
      <c r="WXI34" s="228"/>
      <c r="WXJ34" s="228"/>
      <c r="WXK34" s="228"/>
      <c r="WXL34" s="228"/>
      <c r="WXM34" s="228"/>
      <c r="WXN34" s="228"/>
      <c r="WXO34" s="228"/>
      <c r="WXP34" s="228"/>
      <c r="WXQ34" s="228"/>
      <c r="WXR34" s="228"/>
      <c r="WXS34" s="228"/>
      <c r="WXT34" s="228"/>
      <c r="WXU34" s="228"/>
      <c r="WXV34" s="228"/>
      <c r="WXW34" s="228"/>
      <c r="WXX34" s="228"/>
      <c r="WXY34" s="228"/>
      <c r="WXZ34" s="228"/>
      <c r="WYA34" s="228"/>
      <c r="WYB34" s="228"/>
      <c r="WYC34" s="228"/>
      <c r="WYD34" s="228"/>
      <c r="WYE34" s="228"/>
      <c r="WYF34" s="228"/>
      <c r="WYG34" s="228"/>
      <c r="WYH34" s="228"/>
      <c r="WYI34" s="228"/>
      <c r="WYJ34" s="228"/>
      <c r="WYK34" s="228"/>
      <c r="WYL34" s="228"/>
      <c r="WYM34" s="228"/>
      <c r="WYN34" s="228"/>
      <c r="WYO34" s="228"/>
      <c r="WYP34" s="228"/>
      <c r="WYQ34" s="228"/>
      <c r="WYR34" s="228"/>
      <c r="WYS34" s="228"/>
      <c r="WYT34" s="228"/>
      <c r="WYU34" s="228"/>
      <c r="WYV34" s="228"/>
      <c r="WYW34" s="228"/>
      <c r="WYX34" s="228"/>
      <c r="WYY34" s="228"/>
      <c r="WYZ34" s="228"/>
      <c r="WZA34" s="228"/>
      <c r="WZB34" s="228"/>
      <c r="WZC34" s="228"/>
      <c r="WZD34" s="228"/>
      <c r="WZE34" s="228"/>
      <c r="WZF34" s="228"/>
      <c r="WZG34" s="228"/>
      <c r="WZH34" s="228"/>
      <c r="WZI34" s="228"/>
      <c r="WZJ34" s="228"/>
      <c r="WZK34" s="228"/>
      <c r="WZL34" s="228"/>
      <c r="WZM34" s="228"/>
      <c r="WZN34" s="228"/>
      <c r="WZO34" s="228"/>
      <c r="WZP34" s="228"/>
      <c r="WZQ34" s="228"/>
      <c r="WZR34" s="228"/>
      <c r="WZS34" s="228"/>
      <c r="WZT34" s="228"/>
      <c r="WZU34" s="228"/>
      <c r="WZV34" s="228"/>
      <c r="WZW34" s="228"/>
      <c r="WZX34" s="228"/>
      <c r="WZY34" s="228"/>
      <c r="WZZ34" s="228"/>
      <c r="XAA34" s="228"/>
      <c r="XAB34" s="228"/>
      <c r="XAC34" s="228"/>
      <c r="XAD34" s="228"/>
      <c r="XAE34" s="228"/>
      <c r="XAF34" s="228"/>
      <c r="XAG34" s="228"/>
      <c r="XAH34" s="228"/>
      <c r="XAI34" s="228"/>
      <c r="XAJ34" s="228"/>
      <c r="XAK34" s="228"/>
      <c r="XAL34" s="228"/>
      <c r="XAM34" s="228"/>
      <c r="XAN34" s="228"/>
      <c r="XAO34" s="228"/>
      <c r="XAP34" s="228"/>
      <c r="XAQ34" s="228"/>
      <c r="XAR34" s="228"/>
      <c r="XAS34" s="228"/>
      <c r="XAT34" s="228"/>
      <c r="XAU34" s="228"/>
      <c r="XAV34" s="228"/>
      <c r="XAW34" s="228"/>
      <c r="XAX34" s="228"/>
      <c r="XAY34" s="228"/>
      <c r="XAZ34" s="228"/>
      <c r="XBA34" s="228"/>
      <c r="XBB34" s="228"/>
      <c r="XBC34" s="228"/>
      <c r="XBD34" s="228"/>
      <c r="XBE34" s="228"/>
      <c r="XBF34" s="228"/>
      <c r="XBG34" s="228"/>
      <c r="XBH34" s="228"/>
      <c r="XBI34" s="228"/>
      <c r="XBJ34" s="228"/>
      <c r="XBK34" s="228"/>
      <c r="XBL34" s="228"/>
      <c r="XBM34" s="228"/>
      <c r="XBN34" s="228"/>
      <c r="XBO34" s="228"/>
      <c r="XBP34" s="228"/>
      <c r="XBQ34" s="228"/>
      <c r="XBR34" s="228"/>
      <c r="XBS34" s="228"/>
      <c r="XBT34" s="228"/>
      <c r="XBU34" s="228"/>
      <c r="XBV34" s="228"/>
      <c r="XBW34" s="228"/>
      <c r="XBX34" s="228"/>
      <c r="XBY34" s="228"/>
      <c r="XBZ34" s="228"/>
      <c r="XCA34" s="228"/>
      <c r="XCB34" s="228"/>
      <c r="XCC34" s="228"/>
      <c r="XCD34" s="228"/>
      <c r="XCE34" s="228"/>
      <c r="XCF34" s="228"/>
      <c r="XCG34" s="228"/>
      <c r="XCH34" s="228"/>
      <c r="XCI34" s="228"/>
      <c r="XCJ34" s="228"/>
      <c r="XCK34" s="228"/>
      <c r="XCL34" s="228"/>
      <c r="XCM34" s="228"/>
      <c r="XCN34" s="228"/>
      <c r="XCO34" s="228"/>
      <c r="XCP34" s="228"/>
      <c r="XCQ34" s="228"/>
      <c r="XCR34" s="228"/>
      <c r="XCS34" s="228"/>
      <c r="XCT34" s="228"/>
      <c r="XCU34" s="228"/>
      <c r="XCV34" s="228"/>
      <c r="XCW34" s="228"/>
      <c r="XCX34" s="228"/>
      <c r="XCY34" s="228"/>
      <c r="XCZ34" s="228"/>
      <c r="XDA34" s="228"/>
      <c r="XDB34" s="228"/>
      <c r="XDC34" s="228"/>
      <c r="XDD34" s="228"/>
      <c r="XDE34" s="228"/>
      <c r="XDF34" s="228"/>
      <c r="XDG34" s="228"/>
      <c r="XDH34" s="228"/>
      <c r="XDI34" s="228"/>
      <c r="XDJ34" s="228"/>
      <c r="XDK34" s="228"/>
      <c r="XDL34" s="228"/>
      <c r="XDM34" s="228"/>
      <c r="XDN34" s="228"/>
      <c r="XDO34" s="228"/>
      <c r="XDP34" s="228"/>
      <c r="XDQ34" s="228"/>
      <c r="XDR34" s="228"/>
      <c r="XDS34" s="228"/>
      <c r="XDT34" s="228"/>
      <c r="XDU34" s="228"/>
      <c r="XDV34" s="228"/>
      <c r="XDW34" s="228"/>
      <c r="XDX34" s="228"/>
      <c r="XDY34" s="228"/>
      <c r="XDZ34" s="228"/>
      <c r="XEA34" s="228"/>
      <c r="XEB34" s="228"/>
      <c r="XEC34" s="228"/>
      <c r="XED34" s="228"/>
      <c r="XEE34" s="228"/>
      <c r="XEF34" s="228"/>
      <c r="XEG34" s="228"/>
      <c r="XEH34" s="228"/>
      <c r="XEI34" s="228"/>
      <c r="XEJ34" s="228"/>
      <c r="XEK34" s="228"/>
      <c r="XEL34" s="228"/>
      <c r="XEM34" s="228"/>
      <c r="XEN34" s="228"/>
      <c r="XEO34" s="228"/>
      <c r="XEP34" s="228"/>
      <c r="XEQ34" s="228"/>
      <c r="XER34" s="228"/>
      <c r="XES34" s="228"/>
      <c r="XET34" s="228"/>
      <c r="XEU34" s="228"/>
      <c r="XEV34" s="228"/>
      <c r="XEW34" s="228"/>
      <c r="XEX34" s="228"/>
      <c r="XEY34" s="228"/>
      <c r="XEZ34" s="228"/>
      <c r="XFA34" s="228"/>
      <c r="XFB34" s="228"/>
      <c r="XFC34" s="228"/>
    </row>
    <row r="35" spans="1:1024 1025:16383">
      <c r="A35" s="171"/>
      <c r="B35" s="172"/>
      <c r="C35" s="173"/>
      <c r="D35" s="174"/>
      <c r="E35" s="175"/>
      <c r="F35" s="176"/>
      <c r="G35" s="176"/>
      <c r="H35" s="177"/>
      <c r="I35" s="178"/>
      <c r="J35" s="198">
        <f t="shared" ref="J35:S35" si="31">SUM(J34)</f>
        <v>3296666.66666667</v>
      </c>
      <c r="K35" s="198">
        <f t="shared" si="31"/>
        <v>164833.333333333</v>
      </c>
      <c r="L35" s="198">
        <f t="shared" si="31"/>
        <v>164833.333333333</v>
      </c>
      <c r="M35" s="198">
        <f t="shared" si="31"/>
        <v>164833.333333333</v>
      </c>
      <c r="N35" s="198">
        <f t="shared" si="31"/>
        <v>164833.333333333</v>
      </c>
      <c r="O35" s="198">
        <f t="shared" si="31"/>
        <v>164833.333333333</v>
      </c>
      <c r="P35" s="198">
        <f t="shared" si="31"/>
        <v>164833.333333333</v>
      </c>
      <c r="Q35" s="198">
        <f t="shared" si="31"/>
        <v>164833.333333333</v>
      </c>
      <c r="R35" s="198">
        <f t="shared" si="31"/>
        <v>164833.333333333</v>
      </c>
      <c r="S35" s="198">
        <f t="shared" si="31"/>
        <v>164833.333333333</v>
      </c>
      <c r="T35" s="198">
        <f t="shared" ref="T35:V35" si="32">SUM(T34:T34)</f>
        <v>164833.333333333</v>
      </c>
      <c r="U35" s="198">
        <f t="shared" si="32"/>
        <v>164833.333333333</v>
      </c>
      <c r="V35" s="198">
        <f t="shared" si="32"/>
        <v>164833.333333333</v>
      </c>
      <c r="W35" s="212"/>
      <c r="X35" s="170"/>
      <c r="Y35" s="170"/>
    </row>
    <row r="36" spans="1:1024 1025:16383">
      <c r="A36" s="171"/>
      <c r="B36" s="182" t="s">
        <v>996</v>
      </c>
      <c r="C36" s="173"/>
      <c r="D36" s="174"/>
      <c r="E36" s="175"/>
      <c r="F36" s="176"/>
      <c r="G36" s="176"/>
      <c r="H36" s="177">
        <v>60</v>
      </c>
      <c r="I36" s="178"/>
      <c r="J36" s="210">
        <f>19*I36</f>
        <v>0</v>
      </c>
      <c r="K36" s="210">
        <f>I36</f>
        <v>0</v>
      </c>
      <c r="L36" s="210">
        <f>I36</f>
        <v>0</v>
      </c>
      <c r="M36" s="180"/>
      <c r="N36" s="180"/>
      <c r="O36" s="180"/>
      <c r="P36" s="180"/>
      <c r="Q36" s="180"/>
      <c r="R36" s="180"/>
      <c r="S36" s="168"/>
      <c r="T36" s="217"/>
      <c r="U36" s="210"/>
      <c r="V36" s="210"/>
      <c r="W36" s="212"/>
      <c r="X36" s="170"/>
      <c r="Y36" s="170"/>
    </row>
    <row r="37" spans="1:1024 1025:16383">
      <c r="A37" s="204">
        <v>1</v>
      </c>
      <c r="B37" s="229" t="s">
        <v>997</v>
      </c>
      <c r="C37" s="202">
        <v>41579</v>
      </c>
      <c r="D37" s="186" t="s">
        <v>983</v>
      </c>
      <c r="E37" s="187">
        <v>2</v>
      </c>
      <c r="F37" s="180">
        <v>1563500</v>
      </c>
      <c r="G37" s="180">
        <f t="shared" ref="G37:G44" si="33">+E37*F37</f>
        <v>3127000</v>
      </c>
      <c r="H37" s="199">
        <v>60</v>
      </c>
      <c r="I37" s="178">
        <f t="shared" si="30"/>
        <v>52116.6666666667</v>
      </c>
      <c r="J37" s="210">
        <f t="shared" ref="J37:J44" si="34">G37</f>
        <v>3127000</v>
      </c>
      <c r="K37" s="210"/>
      <c r="L37" s="210"/>
      <c r="M37" s="180"/>
      <c r="N37" s="180"/>
      <c r="O37" s="180"/>
      <c r="P37" s="180"/>
      <c r="Q37" s="180"/>
      <c r="R37" s="180"/>
      <c r="S37" s="211"/>
      <c r="T37" s="217">
        <v>0</v>
      </c>
      <c r="U37" s="210">
        <f t="shared" ref="U37:W37" si="35">T37*I37</f>
        <v>0</v>
      </c>
      <c r="V37" s="210">
        <f t="shared" si="35"/>
        <v>0</v>
      </c>
      <c r="W37" s="212">
        <f t="shared" si="35"/>
        <v>0</v>
      </c>
      <c r="X37" s="170"/>
      <c r="Y37" s="170"/>
    </row>
    <row r="38" spans="1:1024 1025:16383">
      <c r="A38" s="204">
        <v>2</v>
      </c>
      <c r="B38" s="229" t="s">
        <v>998</v>
      </c>
      <c r="C38" s="202">
        <v>41583</v>
      </c>
      <c r="D38" s="186" t="s">
        <v>983</v>
      </c>
      <c r="E38" s="187">
        <v>1</v>
      </c>
      <c r="F38" s="180">
        <v>500000</v>
      </c>
      <c r="G38" s="180">
        <f t="shared" si="33"/>
        <v>500000</v>
      </c>
      <c r="H38" s="199">
        <v>60</v>
      </c>
      <c r="I38" s="178">
        <f t="shared" si="30"/>
        <v>8333.33333333333</v>
      </c>
      <c r="J38" s="210">
        <f t="shared" si="34"/>
        <v>500000</v>
      </c>
      <c r="K38" s="210"/>
      <c r="L38" s="210"/>
      <c r="M38" s="180"/>
      <c r="N38" s="180"/>
      <c r="O38" s="180"/>
      <c r="P38" s="180"/>
      <c r="Q38" s="180"/>
      <c r="R38" s="180"/>
      <c r="S38" s="211"/>
      <c r="T38" s="217">
        <v>0</v>
      </c>
      <c r="U38" s="210">
        <f t="shared" ref="U38:W38" si="36">T38*I38</f>
        <v>0</v>
      </c>
      <c r="V38" s="210">
        <f t="shared" si="36"/>
        <v>0</v>
      </c>
      <c r="W38" s="212">
        <f t="shared" si="36"/>
        <v>0</v>
      </c>
      <c r="X38" s="170"/>
      <c r="Y38" s="170"/>
    </row>
    <row r="39" spans="1:1024 1025:16383">
      <c r="A39" s="204">
        <v>3</v>
      </c>
      <c r="B39" s="229" t="s">
        <v>999</v>
      </c>
      <c r="C39" s="202">
        <v>42955</v>
      </c>
      <c r="D39" s="186" t="s">
        <v>983</v>
      </c>
      <c r="E39" s="187">
        <v>1</v>
      </c>
      <c r="F39" s="180">
        <v>950000</v>
      </c>
      <c r="G39" s="180">
        <f t="shared" si="33"/>
        <v>950000</v>
      </c>
      <c r="H39" s="199">
        <v>60</v>
      </c>
      <c r="I39" s="178">
        <f t="shared" si="30"/>
        <v>15833.3333333333</v>
      </c>
      <c r="J39" s="210">
        <f t="shared" si="34"/>
        <v>950000</v>
      </c>
      <c r="K39" s="210"/>
      <c r="L39" s="210"/>
      <c r="M39" s="180"/>
      <c r="N39" s="180"/>
      <c r="O39" s="180"/>
      <c r="P39" s="180"/>
      <c r="Q39" s="180"/>
      <c r="R39" s="180"/>
      <c r="S39" s="211"/>
      <c r="T39" s="217">
        <v>0</v>
      </c>
      <c r="U39" s="210">
        <f t="shared" ref="U39:W39" si="37">T39*I39</f>
        <v>0</v>
      </c>
      <c r="V39" s="210">
        <f t="shared" si="37"/>
        <v>0</v>
      </c>
      <c r="W39" s="212">
        <f t="shared" si="37"/>
        <v>0</v>
      </c>
      <c r="X39" s="170"/>
      <c r="Y39" s="170"/>
    </row>
    <row r="40" spans="1:1024 1025:16383">
      <c r="A40" s="204">
        <v>4</v>
      </c>
      <c r="B40" s="229" t="s">
        <v>1000</v>
      </c>
      <c r="C40" s="202">
        <v>42988</v>
      </c>
      <c r="D40" s="186" t="s">
        <v>983</v>
      </c>
      <c r="E40" s="187">
        <v>1</v>
      </c>
      <c r="F40" s="180">
        <v>250000</v>
      </c>
      <c r="G40" s="180">
        <f t="shared" si="33"/>
        <v>250000</v>
      </c>
      <c r="H40" s="199">
        <v>60</v>
      </c>
      <c r="I40" s="178">
        <f t="shared" si="30"/>
        <v>4166.66666666667</v>
      </c>
      <c r="J40" s="210">
        <f t="shared" si="34"/>
        <v>250000</v>
      </c>
      <c r="K40" s="210"/>
      <c r="L40" s="210"/>
      <c r="M40" s="180"/>
      <c r="N40" s="180"/>
      <c r="O40" s="180"/>
      <c r="P40" s="180"/>
      <c r="Q40" s="180"/>
      <c r="R40" s="180"/>
      <c r="S40" s="211"/>
      <c r="T40" s="217">
        <v>0</v>
      </c>
      <c r="U40" s="210">
        <f t="shared" ref="U40:W40" si="38">T40*I40</f>
        <v>0</v>
      </c>
      <c r="V40" s="210">
        <f t="shared" si="38"/>
        <v>0</v>
      </c>
      <c r="W40" s="212">
        <f t="shared" si="38"/>
        <v>0</v>
      </c>
      <c r="X40" s="170"/>
      <c r="Y40" s="170"/>
    </row>
    <row r="41" spans="1:1024 1025:16383">
      <c r="A41" s="204">
        <v>5</v>
      </c>
      <c r="B41" s="229" t="s">
        <v>999</v>
      </c>
      <c r="C41" s="202">
        <v>43348</v>
      </c>
      <c r="D41" s="186" t="s">
        <v>983</v>
      </c>
      <c r="E41" s="187">
        <v>1</v>
      </c>
      <c r="F41" s="180">
        <v>1000000</v>
      </c>
      <c r="G41" s="180">
        <f t="shared" si="33"/>
        <v>1000000</v>
      </c>
      <c r="H41" s="199">
        <v>60</v>
      </c>
      <c r="I41" s="178">
        <f t="shared" si="30"/>
        <v>16666.6666666667</v>
      </c>
      <c r="J41" s="210">
        <f t="shared" si="34"/>
        <v>1000000</v>
      </c>
      <c r="K41" s="210"/>
      <c r="L41" s="210"/>
      <c r="M41" s="180"/>
      <c r="N41" s="180"/>
      <c r="O41" s="180"/>
      <c r="P41" s="180"/>
      <c r="Q41" s="180"/>
      <c r="R41" s="180"/>
      <c r="S41" s="211"/>
      <c r="T41" s="217">
        <v>0</v>
      </c>
      <c r="U41" s="210">
        <f t="shared" ref="U41:W41" si="39">T41*I41</f>
        <v>0</v>
      </c>
      <c r="V41" s="210">
        <f t="shared" si="39"/>
        <v>0</v>
      </c>
      <c r="W41" s="212">
        <f t="shared" si="39"/>
        <v>0</v>
      </c>
      <c r="X41" s="170"/>
      <c r="Y41" s="170"/>
    </row>
    <row r="42" spans="1:1024 1025:16383">
      <c r="A42" s="204">
        <v>6</v>
      </c>
      <c r="B42" s="229" t="s">
        <v>1001</v>
      </c>
      <c r="C42" s="202">
        <v>43381</v>
      </c>
      <c r="D42" s="186" t="s">
        <v>983</v>
      </c>
      <c r="E42" s="187">
        <v>1</v>
      </c>
      <c r="F42" s="180">
        <v>8000000</v>
      </c>
      <c r="G42" s="180">
        <f t="shared" si="33"/>
        <v>8000000</v>
      </c>
      <c r="H42" s="199">
        <v>60</v>
      </c>
      <c r="I42" s="178">
        <f t="shared" si="30"/>
        <v>133333.333333333</v>
      </c>
      <c r="J42" s="210">
        <f t="shared" si="34"/>
        <v>8000000</v>
      </c>
      <c r="K42" s="210"/>
      <c r="L42" s="210"/>
      <c r="M42" s="180"/>
      <c r="N42" s="180"/>
      <c r="O42" s="180"/>
      <c r="P42" s="180"/>
      <c r="Q42" s="180"/>
      <c r="R42" s="180"/>
      <c r="S42" s="211"/>
      <c r="T42" s="217">
        <v>0</v>
      </c>
      <c r="U42" s="210">
        <f t="shared" ref="U42:W42" si="40">T42*I42</f>
        <v>0</v>
      </c>
      <c r="V42" s="210">
        <f t="shared" si="40"/>
        <v>0</v>
      </c>
      <c r="W42" s="212">
        <f t="shared" si="40"/>
        <v>0</v>
      </c>
      <c r="X42" s="170"/>
      <c r="Y42" s="170"/>
    </row>
    <row r="43" spans="1:1024 1025:16383">
      <c r="A43" s="204">
        <v>7</v>
      </c>
      <c r="B43" s="229" t="s">
        <v>1002</v>
      </c>
      <c r="C43" s="1066" t="s">
        <v>1003</v>
      </c>
      <c r="D43" s="186" t="s">
        <v>983</v>
      </c>
      <c r="E43" s="187">
        <v>1</v>
      </c>
      <c r="F43" s="180">
        <v>800000</v>
      </c>
      <c r="G43" s="180">
        <f t="shared" si="33"/>
        <v>800000</v>
      </c>
      <c r="H43" s="199">
        <v>60</v>
      </c>
      <c r="I43" s="178">
        <f t="shared" si="30"/>
        <v>13333.3333333333</v>
      </c>
      <c r="J43" s="210">
        <f t="shared" si="34"/>
        <v>800000</v>
      </c>
      <c r="K43" s="210"/>
      <c r="L43" s="210"/>
      <c r="M43" s="180"/>
      <c r="N43" s="180"/>
      <c r="O43" s="180"/>
      <c r="P43" s="180"/>
      <c r="Q43" s="180"/>
      <c r="R43" s="180"/>
      <c r="S43" s="211"/>
      <c r="T43" s="217">
        <v>0</v>
      </c>
      <c r="U43" s="210">
        <f t="shared" ref="U43:W43" si="41">T43*I43</f>
        <v>0</v>
      </c>
      <c r="V43" s="210">
        <f t="shared" si="41"/>
        <v>0</v>
      </c>
      <c r="W43" s="212">
        <f t="shared" si="41"/>
        <v>0</v>
      </c>
      <c r="X43" s="170"/>
      <c r="Y43" s="170"/>
    </row>
    <row r="44" spans="1:1024 1025:16383">
      <c r="A44" s="204">
        <v>8</v>
      </c>
      <c r="B44" s="229" t="s">
        <v>704</v>
      </c>
      <c r="C44" s="230">
        <v>43657</v>
      </c>
      <c r="D44" s="186" t="s">
        <v>983</v>
      </c>
      <c r="E44" s="187">
        <v>1</v>
      </c>
      <c r="F44" s="180">
        <v>1400000</v>
      </c>
      <c r="G44" s="180">
        <f t="shared" si="33"/>
        <v>1400000</v>
      </c>
      <c r="H44" s="199">
        <v>60</v>
      </c>
      <c r="I44" s="178">
        <f t="shared" si="30"/>
        <v>23333.3333333333</v>
      </c>
      <c r="J44" s="210">
        <f t="shared" si="34"/>
        <v>1400000</v>
      </c>
      <c r="K44" s="210"/>
      <c r="L44" s="210"/>
      <c r="M44" s="180"/>
      <c r="N44" s="180"/>
      <c r="O44" s="180"/>
      <c r="P44" s="180"/>
      <c r="Q44" s="180"/>
      <c r="R44" s="180"/>
      <c r="S44" s="211"/>
      <c r="T44" s="217"/>
      <c r="U44" s="210"/>
      <c r="V44" s="210"/>
      <c r="W44" s="212"/>
      <c r="X44" s="170"/>
      <c r="Y44" s="170"/>
    </row>
    <row r="45" spans="1:1024 1025:16383">
      <c r="A45" s="204">
        <v>16</v>
      </c>
      <c r="B45" s="168" t="s">
        <v>1004</v>
      </c>
      <c r="C45" s="213">
        <v>45176</v>
      </c>
      <c r="D45" s="186" t="s">
        <v>983</v>
      </c>
      <c r="E45" s="214">
        <v>2</v>
      </c>
      <c r="F45" s="210">
        <v>850000</v>
      </c>
      <c r="G45" s="210">
        <f t="shared" ref="G45:G55" si="42">F45*E45</f>
        <v>1700000</v>
      </c>
      <c r="H45" s="199">
        <v>60</v>
      </c>
      <c r="I45" s="178">
        <f t="shared" si="30"/>
        <v>28333.3333333333</v>
      </c>
      <c r="J45" s="210">
        <f t="shared" ref="J45:J48" si="43">18*I45</f>
        <v>510000</v>
      </c>
      <c r="K45" s="210">
        <f t="shared" ref="K45:K55" si="44">I45</f>
        <v>28333.3333333333</v>
      </c>
      <c r="L45" s="210">
        <f t="shared" ref="L45:L55" si="45">I45</f>
        <v>28333.3333333333</v>
      </c>
      <c r="M45" s="180">
        <f t="shared" ref="M45:M55" si="46">I45</f>
        <v>28333.3333333333</v>
      </c>
      <c r="N45" s="180">
        <f t="shared" ref="N45:N55" si="47">SUM(I45)</f>
        <v>28333.3333333333</v>
      </c>
      <c r="O45" s="180">
        <f t="shared" ref="O45:O55" si="48">I45</f>
        <v>28333.3333333333</v>
      </c>
      <c r="P45" s="180">
        <f t="shared" ref="P45:P55" si="49">SUM(I45)</f>
        <v>28333.3333333333</v>
      </c>
      <c r="Q45" s="180">
        <f t="shared" ref="Q45:Q55" si="50">SUM(I45)</f>
        <v>28333.3333333333</v>
      </c>
      <c r="R45" s="180">
        <f t="shared" ref="R45:R55" si="51">SUM(I45)</f>
        <v>28333.3333333333</v>
      </c>
      <c r="S45" s="211">
        <f t="shared" ref="S45:S55" si="52">SUM(I45)</f>
        <v>28333.3333333333</v>
      </c>
      <c r="T45" s="210">
        <f t="shared" ref="T45:T55" si="53">SUM(I45)</f>
        <v>28333.3333333333</v>
      </c>
      <c r="U45" s="210">
        <f t="shared" ref="U45:U55" si="54">SUM(I45)</f>
        <v>28333.3333333333</v>
      </c>
      <c r="V45" s="210">
        <f t="shared" ref="V45:V55" si="55">SUM(I45)</f>
        <v>28333.3333333333</v>
      </c>
      <c r="W45" s="212">
        <f t="shared" ref="W45:W55" si="56">SUM(K45:V45)</f>
        <v>340000</v>
      </c>
      <c r="X45" s="188">
        <f t="shared" ref="X45:X48" si="57">H45-30</f>
        <v>30</v>
      </c>
      <c r="Y45" s="170"/>
    </row>
    <row r="46" spans="1:1024 1025:16383">
      <c r="A46" s="204">
        <v>17</v>
      </c>
      <c r="B46" s="168" t="s">
        <v>1005</v>
      </c>
      <c r="C46" s="213">
        <v>45176</v>
      </c>
      <c r="D46" s="186" t="s">
        <v>983</v>
      </c>
      <c r="E46" s="214">
        <v>1</v>
      </c>
      <c r="F46" s="210">
        <v>1200000</v>
      </c>
      <c r="G46" s="210">
        <f t="shared" si="42"/>
        <v>1200000</v>
      </c>
      <c r="H46" s="199">
        <v>60</v>
      </c>
      <c r="I46" s="178">
        <f t="shared" si="30"/>
        <v>20000</v>
      </c>
      <c r="J46" s="210">
        <f t="shared" si="43"/>
        <v>360000</v>
      </c>
      <c r="K46" s="210">
        <f t="shared" si="44"/>
        <v>20000</v>
      </c>
      <c r="L46" s="210">
        <f t="shared" si="45"/>
        <v>20000</v>
      </c>
      <c r="M46" s="180">
        <f t="shared" si="46"/>
        <v>20000</v>
      </c>
      <c r="N46" s="180">
        <f t="shared" si="47"/>
        <v>20000</v>
      </c>
      <c r="O46" s="180">
        <f t="shared" si="48"/>
        <v>20000</v>
      </c>
      <c r="P46" s="180">
        <f t="shared" si="49"/>
        <v>20000</v>
      </c>
      <c r="Q46" s="180">
        <f t="shared" si="50"/>
        <v>20000</v>
      </c>
      <c r="R46" s="180">
        <f t="shared" si="51"/>
        <v>20000</v>
      </c>
      <c r="S46" s="211">
        <f t="shared" si="52"/>
        <v>20000</v>
      </c>
      <c r="T46" s="210">
        <f t="shared" si="53"/>
        <v>20000</v>
      </c>
      <c r="U46" s="210">
        <f t="shared" si="54"/>
        <v>20000</v>
      </c>
      <c r="V46" s="210">
        <f t="shared" si="55"/>
        <v>20000</v>
      </c>
      <c r="W46" s="212">
        <f t="shared" si="56"/>
        <v>240000</v>
      </c>
      <c r="X46" s="188">
        <f t="shared" si="57"/>
        <v>30</v>
      </c>
      <c r="Y46" s="170"/>
    </row>
    <row r="47" spans="1:1024 1025:16383">
      <c r="A47" s="204">
        <v>18</v>
      </c>
      <c r="B47" s="168" t="s">
        <v>1005</v>
      </c>
      <c r="C47" s="213">
        <v>45176</v>
      </c>
      <c r="D47" s="186" t="s">
        <v>983</v>
      </c>
      <c r="E47" s="214">
        <v>1</v>
      </c>
      <c r="F47" s="210">
        <v>1100000</v>
      </c>
      <c r="G47" s="210">
        <f t="shared" si="42"/>
        <v>1100000</v>
      </c>
      <c r="H47" s="199">
        <v>60</v>
      </c>
      <c r="I47" s="178">
        <f t="shared" si="30"/>
        <v>18333.3333333333</v>
      </c>
      <c r="J47" s="210">
        <f t="shared" si="43"/>
        <v>330000</v>
      </c>
      <c r="K47" s="210">
        <f t="shared" si="44"/>
        <v>18333.3333333333</v>
      </c>
      <c r="L47" s="210">
        <f t="shared" si="45"/>
        <v>18333.3333333333</v>
      </c>
      <c r="M47" s="180">
        <f t="shared" si="46"/>
        <v>18333.3333333333</v>
      </c>
      <c r="N47" s="180">
        <f t="shared" si="47"/>
        <v>18333.3333333333</v>
      </c>
      <c r="O47" s="180">
        <f t="shared" si="48"/>
        <v>18333.3333333333</v>
      </c>
      <c r="P47" s="180">
        <f t="shared" si="49"/>
        <v>18333.3333333333</v>
      </c>
      <c r="Q47" s="180">
        <f t="shared" si="50"/>
        <v>18333.3333333333</v>
      </c>
      <c r="R47" s="180">
        <f t="shared" si="51"/>
        <v>18333.3333333333</v>
      </c>
      <c r="S47" s="211">
        <f t="shared" si="52"/>
        <v>18333.3333333333</v>
      </c>
      <c r="T47" s="210">
        <f t="shared" si="53"/>
        <v>18333.3333333333</v>
      </c>
      <c r="U47" s="210">
        <f t="shared" si="54"/>
        <v>18333.3333333333</v>
      </c>
      <c r="V47" s="210">
        <f t="shared" si="55"/>
        <v>18333.3333333333</v>
      </c>
      <c r="W47" s="212">
        <f t="shared" si="56"/>
        <v>220000</v>
      </c>
      <c r="X47" s="188">
        <f t="shared" si="57"/>
        <v>30</v>
      </c>
      <c r="Y47" s="170"/>
    </row>
    <row r="48" spans="1:1024 1025:16383">
      <c r="A48" s="204">
        <v>19</v>
      </c>
      <c r="B48" s="168" t="s">
        <v>1006</v>
      </c>
      <c r="C48" s="213">
        <v>45176</v>
      </c>
      <c r="D48" s="186" t="s">
        <v>983</v>
      </c>
      <c r="E48" s="214">
        <v>1</v>
      </c>
      <c r="F48" s="210">
        <v>3850000</v>
      </c>
      <c r="G48" s="210">
        <f t="shared" si="42"/>
        <v>3850000</v>
      </c>
      <c r="H48" s="199">
        <v>60</v>
      </c>
      <c r="I48" s="178">
        <f t="shared" si="30"/>
        <v>64166.6666666667</v>
      </c>
      <c r="J48" s="210">
        <f t="shared" si="43"/>
        <v>1155000</v>
      </c>
      <c r="K48" s="210">
        <f t="shared" si="44"/>
        <v>64166.6666666667</v>
      </c>
      <c r="L48" s="210">
        <f t="shared" si="45"/>
        <v>64166.6666666667</v>
      </c>
      <c r="M48" s="180">
        <f t="shared" si="46"/>
        <v>64166.6666666667</v>
      </c>
      <c r="N48" s="180">
        <f t="shared" si="47"/>
        <v>64166.6666666667</v>
      </c>
      <c r="O48" s="180">
        <f t="shared" si="48"/>
        <v>64166.6666666667</v>
      </c>
      <c r="P48" s="180">
        <f t="shared" si="49"/>
        <v>64166.6666666667</v>
      </c>
      <c r="Q48" s="180">
        <f t="shared" si="50"/>
        <v>64166.6666666667</v>
      </c>
      <c r="R48" s="180">
        <f t="shared" si="51"/>
        <v>64166.6666666667</v>
      </c>
      <c r="S48" s="211">
        <f t="shared" si="52"/>
        <v>64166.6666666667</v>
      </c>
      <c r="T48" s="210">
        <f t="shared" si="53"/>
        <v>64166.6666666667</v>
      </c>
      <c r="U48" s="210">
        <f t="shared" si="54"/>
        <v>64166.6666666667</v>
      </c>
      <c r="V48" s="210">
        <f t="shared" si="55"/>
        <v>64166.6666666667</v>
      </c>
      <c r="W48" s="212">
        <f t="shared" si="56"/>
        <v>770000</v>
      </c>
      <c r="X48" s="188">
        <f t="shared" si="57"/>
        <v>30</v>
      </c>
      <c r="Y48" s="170"/>
    </row>
    <row r="49" spans="1:25">
      <c r="A49" s="204">
        <v>21</v>
      </c>
      <c r="B49" s="168" t="s">
        <v>1007</v>
      </c>
      <c r="C49" s="1065" t="s">
        <v>532</v>
      </c>
      <c r="D49" s="186" t="s">
        <v>983</v>
      </c>
      <c r="E49" s="214">
        <v>1</v>
      </c>
      <c r="F49" s="210">
        <v>500000</v>
      </c>
      <c r="G49" s="210">
        <f t="shared" si="42"/>
        <v>500000</v>
      </c>
      <c r="H49" s="199">
        <v>60</v>
      </c>
      <c r="I49" s="178">
        <f t="shared" si="30"/>
        <v>8333.33333333333</v>
      </c>
      <c r="J49" s="210">
        <f>11*I49</f>
        <v>91666.6666666667</v>
      </c>
      <c r="K49" s="210">
        <f t="shared" si="44"/>
        <v>8333.33333333333</v>
      </c>
      <c r="L49" s="210">
        <f t="shared" si="45"/>
        <v>8333.33333333333</v>
      </c>
      <c r="M49" s="180">
        <f t="shared" si="46"/>
        <v>8333.33333333333</v>
      </c>
      <c r="N49" s="180">
        <f t="shared" si="47"/>
        <v>8333.33333333333</v>
      </c>
      <c r="O49" s="180">
        <f t="shared" si="48"/>
        <v>8333.33333333333</v>
      </c>
      <c r="P49" s="180">
        <f t="shared" si="49"/>
        <v>8333.33333333333</v>
      </c>
      <c r="Q49" s="180">
        <f t="shared" si="50"/>
        <v>8333.33333333333</v>
      </c>
      <c r="R49" s="180">
        <f t="shared" si="51"/>
        <v>8333.33333333333</v>
      </c>
      <c r="S49" s="211">
        <f t="shared" si="52"/>
        <v>8333.33333333333</v>
      </c>
      <c r="T49" s="210">
        <f t="shared" si="53"/>
        <v>8333.33333333333</v>
      </c>
      <c r="U49" s="210">
        <f t="shared" si="54"/>
        <v>8333.33333333333</v>
      </c>
      <c r="V49" s="210">
        <f t="shared" si="55"/>
        <v>8333.33333333333</v>
      </c>
      <c r="W49" s="212">
        <f t="shared" si="56"/>
        <v>100000</v>
      </c>
      <c r="X49" s="188">
        <f>H49-23</f>
        <v>37</v>
      </c>
      <c r="Y49" s="170"/>
    </row>
    <row r="50" spans="1:25">
      <c r="A50" s="204">
        <v>23</v>
      </c>
      <c r="B50" s="168" t="s">
        <v>1008</v>
      </c>
      <c r="C50" s="1065" t="s">
        <v>1009</v>
      </c>
      <c r="D50" s="186" t="s">
        <v>983</v>
      </c>
      <c r="E50" s="214">
        <v>1</v>
      </c>
      <c r="F50" s="210">
        <v>450000</v>
      </c>
      <c r="G50" s="210">
        <f t="shared" si="42"/>
        <v>450000</v>
      </c>
      <c r="H50" s="199">
        <v>60</v>
      </c>
      <c r="I50" s="200">
        <f t="shared" si="30"/>
        <v>7500</v>
      </c>
      <c r="J50" s="210">
        <f t="shared" ref="J50:J52" si="58">3*I50</f>
        <v>22500</v>
      </c>
      <c r="K50" s="210">
        <f t="shared" si="44"/>
        <v>7500</v>
      </c>
      <c r="L50" s="210">
        <f t="shared" si="45"/>
        <v>7500</v>
      </c>
      <c r="M50" s="180">
        <f t="shared" si="46"/>
        <v>7500</v>
      </c>
      <c r="N50" s="180">
        <f t="shared" si="47"/>
        <v>7500</v>
      </c>
      <c r="O50" s="231">
        <f t="shared" si="48"/>
        <v>7500</v>
      </c>
      <c r="P50" s="180">
        <f t="shared" si="49"/>
        <v>7500</v>
      </c>
      <c r="Q50" s="180">
        <f t="shared" si="50"/>
        <v>7500</v>
      </c>
      <c r="R50" s="180">
        <f t="shared" si="51"/>
        <v>7500</v>
      </c>
      <c r="S50" s="211">
        <f t="shared" si="52"/>
        <v>7500</v>
      </c>
      <c r="T50" s="210">
        <f t="shared" si="53"/>
        <v>7500</v>
      </c>
      <c r="U50" s="210">
        <f t="shared" si="54"/>
        <v>7500</v>
      </c>
      <c r="V50" s="210">
        <f t="shared" si="55"/>
        <v>7500</v>
      </c>
      <c r="W50" s="212">
        <f t="shared" si="56"/>
        <v>90000</v>
      </c>
      <c r="X50" s="188">
        <f t="shared" ref="X50:X52" si="59">H50-15</f>
        <v>45</v>
      </c>
      <c r="Y50" s="170"/>
    </row>
    <row r="51" spans="1:25">
      <c r="A51" s="204">
        <v>24</v>
      </c>
      <c r="B51" s="168" t="s">
        <v>1010</v>
      </c>
      <c r="C51" s="1065" t="s">
        <v>1009</v>
      </c>
      <c r="D51" s="186" t="s">
        <v>983</v>
      </c>
      <c r="E51" s="214">
        <v>1</v>
      </c>
      <c r="F51" s="210">
        <v>275000</v>
      </c>
      <c r="G51" s="210">
        <f t="shared" si="42"/>
        <v>275000</v>
      </c>
      <c r="H51" s="199">
        <v>60</v>
      </c>
      <c r="I51" s="200">
        <f t="shared" si="30"/>
        <v>4583.33333333333</v>
      </c>
      <c r="J51" s="210">
        <f t="shared" si="58"/>
        <v>13750</v>
      </c>
      <c r="K51" s="210">
        <f t="shared" si="44"/>
        <v>4583.33333333333</v>
      </c>
      <c r="L51" s="210">
        <f t="shared" si="45"/>
        <v>4583.33333333333</v>
      </c>
      <c r="M51" s="180">
        <f t="shared" si="46"/>
        <v>4583.33333333333</v>
      </c>
      <c r="N51" s="180">
        <f t="shared" si="47"/>
        <v>4583.33333333333</v>
      </c>
      <c r="O51" s="231">
        <f t="shared" si="48"/>
        <v>4583.33333333333</v>
      </c>
      <c r="P51" s="180">
        <f t="shared" si="49"/>
        <v>4583.33333333333</v>
      </c>
      <c r="Q51" s="180">
        <f t="shared" si="50"/>
        <v>4583.33333333333</v>
      </c>
      <c r="R51" s="180">
        <f t="shared" si="51"/>
        <v>4583.33333333333</v>
      </c>
      <c r="S51" s="211">
        <f t="shared" si="52"/>
        <v>4583.33333333333</v>
      </c>
      <c r="T51" s="210">
        <f t="shared" si="53"/>
        <v>4583.33333333333</v>
      </c>
      <c r="U51" s="210">
        <f t="shared" si="54"/>
        <v>4583.33333333333</v>
      </c>
      <c r="V51" s="210">
        <f t="shared" si="55"/>
        <v>4583.33333333333</v>
      </c>
      <c r="W51" s="212">
        <f t="shared" si="56"/>
        <v>55000</v>
      </c>
      <c r="X51" s="188">
        <f t="shared" si="59"/>
        <v>45</v>
      </c>
      <c r="Y51" s="170"/>
    </row>
    <row r="52" spans="1:25">
      <c r="A52" s="204">
        <v>25</v>
      </c>
      <c r="B52" s="168" t="s">
        <v>1011</v>
      </c>
      <c r="C52" s="1065" t="s">
        <v>1009</v>
      </c>
      <c r="D52" s="186" t="s">
        <v>983</v>
      </c>
      <c r="E52" s="214">
        <v>30</v>
      </c>
      <c r="F52" s="210">
        <v>35000</v>
      </c>
      <c r="G52" s="210">
        <f t="shared" si="42"/>
        <v>1050000</v>
      </c>
      <c r="H52" s="199">
        <v>60</v>
      </c>
      <c r="I52" s="200">
        <f t="shared" si="30"/>
        <v>17500</v>
      </c>
      <c r="J52" s="210">
        <f t="shared" si="58"/>
        <v>52500</v>
      </c>
      <c r="K52" s="210">
        <f t="shared" si="44"/>
        <v>17500</v>
      </c>
      <c r="L52" s="210">
        <f t="shared" si="45"/>
        <v>17500</v>
      </c>
      <c r="M52" s="180">
        <f t="shared" si="46"/>
        <v>17500</v>
      </c>
      <c r="N52" s="180">
        <f t="shared" si="47"/>
        <v>17500</v>
      </c>
      <c r="O52" s="231">
        <f t="shared" si="48"/>
        <v>17500</v>
      </c>
      <c r="P52" s="180">
        <f t="shared" si="49"/>
        <v>17500</v>
      </c>
      <c r="Q52" s="180">
        <f t="shared" si="50"/>
        <v>17500</v>
      </c>
      <c r="R52" s="180">
        <f t="shared" si="51"/>
        <v>17500</v>
      </c>
      <c r="S52" s="211">
        <f t="shared" si="52"/>
        <v>17500</v>
      </c>
      <c r="T52" s="210">
        <f t="shared" si="53"/>
        <v>17500</v>
      </c>
      <c r="U52" s="210">
        <f t="shared" si="54"/>
        <v>17500</v>
      </c>
      <c r="V52" s="210">
        <f t="shared" si="55"/>
        <v>17500</v>
      </c>
      <c r="W52" s="212">
        <f t="shared" si="56"/>
        <v>210000</v>
      </c>
      <c r="X52" s="188">
        <f t="shared" si="59"/>
        <v>45</v>
      </c>
      <c r="Y52" s="170"/>
    </row>
    <row r="53" spans="1:25">
      <c r="A53" s="204">
        <v>26</v>
      </c>
      <c r="B53" s="168" t="s">
        <v>1012</v>
      </c>
      <c r="C53" s="1065" t="s">
        <v>1013</v>
      </c>
      <c r="D53" s="186" t="s">
        <v>983</v>
      </c>
      <c r="E53" s="214">
        <v>1</v>
      </c>
      <c r="F53" s="210">
        <v>400000</v>
      </c>
      <c r="G53" s="210">
        <f t="shared" si="42"/>
        <v>400000</v>
      </c>
      <c r="H53" s="199">
        <v>60</v>
      </c>
      <c r="I53" s="232">
        <f t="shared" si="30"/>
        <v>6666.66666666667</v>
      </c>
      <c r="J53" s="210">
        <f t="shared" ref="J53:J55" si="60">2*I53</f>
        <v>13333.3333333333</v>
      </c>
      <c r="K53" s="210">
        <f t="shared" si="44"/>
        <v>6666.66666666667</v>
      </c>
      <c r="L53" s="210">
        <f t="shared" si="45"/>
        <v>6666.66666666667</v>
      </c>
      <c r="M53" s="180">
        <f t="shared" si="46"/>
        <v>6666.66666666667</v>
      </c>
      <c r="N53" s="180">
        <f t="shared" si="47"/>
        <v>6666.66666666667</v>
      </c>
      <c r="O53" s="231">
        <f t="shared" si="48"/>
        <v>6666.66666666667</v>
      </c>
      <c r="P53" s="180">
        <f t="shared" si="49"/>
        <v>6666.66666666667</v>
      </c>
      <c r="Q53" s="180">
        <f t="shared" si="50"/>
        <v>6666.66666666667</v>
      </c>
      <c r="R53" s="180">
        <f t="shared" si="51"/>
        <v>6666.66666666667</v>
      </c>
      <c r="S53" s="211">
        <f t="shared" si="52"/>
        <v>6666.66666666667</v>
      </c>
      <c r="T53" s="210">
        <f t="shared" si="53"/>
        <v>6666.66666666667</v>
      </c>
      <c r="U53" s="210">
        <f t="shared" si="54"/>
        <v>6666.66666666667</v>
      </c>
      <c r="V53" s="210">
        <f t="shared" si="55"/>
        <v>6666.66666666667</v>
      </c>
      <c r="W53" s="212">
        <f t="shared" si="56"/>
        <v>80000</v>
      </c>
      <c r="X53" s="188">
        <f t="shared" ref="X53:X55" si="61">H53-14</f>
        <v>46</v>
      </c>
      <c r="Y53" s="170"/>
    </row>
    <row r="54" spans="1:25">
      <c r="A54" s="204">
        <v>27</v>
      </c>
      <c r="B54" s="168" t="s">
        <v>1014</v>
      </c>
      <c r="C54" s="1065" t="s">
        <v>1015</v>
      </c>
      <c r="D54" s="186" t="s">
        <v>983</v>
      </c>
      <c r="E54" s="214">
        <v>1</v>
      </c>
      <c r="F54" s="210">
        <v>2000000</v>
      </c>
      <c r="G54" s="210">
        <f t="shared" si="42"/>
        <v>2000000</v>
      </c>
      <c r="H54" s="199">
        <v>60</v>
      </c>
      <c r="I54" s="232">
        <f t="shared" si="30"/>
        <v>33333.3333333333</v>
      </c>
      <c r="J54" s="210">
        <f t="shared" si="60"/>
        <v>66666.6666666667</v>
      </c>
      <c r="K54" s="210">
        <f t="shared" si="44"/>
        <v>33333.3333333333</v>
      </c>
      <c r="L54" s="210">
        <f t="shared" si="45"/>
        <v>33333.3333333333</v>
      </c>
      <c r="M54" s="180">
        <f t="shared" si="46"/>
        <v>33333.3333333333</v>
      </c>
      <c r="N54" s="180">
        <f t="shared" si="47"/>
        <v>33333.3333333333</v>
      </c>
      <c r="O54" s="231">
        <f t="shared" si="48"/>
        <v>33333.3333333333</v>
      </c>
      <c r="P54" s="180">
        <f t="shared" si="49"/>
        <v>33333.3333333333</v>
      </c>
      <c r="Q54" s="180">
        <f t="shared" si="50"/>
        <v>33333.3333333333</v>
      </c>
      <c r="R54" s="180">
        <f t="shared" si="51"/>
        <v>33333.3333333333</v>
      </c>
      <c r="S54" s="211">
        <f t="shared" si="52"/>
        <v>33333.3333333333</v>
      </c>
      <c r="T54" s="210">
        <f t="shared" si="53"/>
        <v>33333.3333333333</v>
      </c>
      <c r="U54" s="210">
        <f t="shared" si="54"/>
        <v>33333.3333333333</v>
      </c>
      <c r="V54" s="210">
        <f t="shared" si="55"/>
        <v>33333.3333333333</v>
      </c>
      <c r="W54" s="212">
        <f t="shared" si="56"/>
        <v>400000</v>
      </c>
      <c r="X54" s="188">
        <f t="shared" si="61"/>
        <v>46</v>
      </c>
      <c r="Y54" s="170"/>
    </row>
    <row r="55" spans="1:25">
      <c r="A55" s="204">
        <v>28</v>
      </c>
      <c r="B55" s="168" t="s">
        <v>1016</v>
      </c>
      <c r="C55" s="1065" t="s">
        <v>1017</v>
      </c>
      <c r="D55" s="186" t="s">
        <v>983</v>
      </c>
      <c r="E55" s="214">
        <v>1</v>
      </c>
      <c r="F55" s="210">
        <v>3250000</v>
      </c>
      <c r="G55" s="210">
        <f t="shared" si="42"/>
        <v>3250000</v>
      </c>
      <c r="H55" s="199">
        <v>60</v>
      </c>
      <c r="I55" s="232">
        <f t="shared" si="30"/>
        <v>54166.6666666667</v>
      </c>
      <c r="J55" s="210">
        <f t="shared" si="60"/>
        <v>108333.333333333</v>
      </c>
      <c r="K55" s="210">
        <f t="shared" si="44"/>
        <v>54166.6666666667</v>
      </c>
      <c r="L55" s="210">
        <f t="shared" si="45"/>
        <v>54166.6666666667</v>
      </c>
      <c r="M55" s="180">
        <f t="shared" si="46"/>
        <v>54166.6666666667</v>
      </c>
      <c r="N55" s="180">
        <f t="shared" si="47"/>
        <v>54166.6666666667</v>
      </c>
      <c r="O55" s="231">
        <f t="shared" si="48"/>
        <v>54166.6666666667</v>
      </c>
      <c r="P55" s="180">
        <f t="shared" si="49"/>
        <v>54166.6666666667</v>
      </c>
      <c r="Q55" s="180">
        <f t="shared" si="50"/>
        <v>54166.6666666667</v>
      </c>
      <c r="R55" s="180">
        <f t="shared" si="51"/>
        <v>54166.6666666667</v>
      </c>
      <c r="S55" s="211">
        <f t="shared" si="52"/>
        <v>54166.6666666667</v>
      </c>
      <c r="T55" s="210">
        <f t="shared" si="53"/>
        <v>54166.6666666667</v>
      </c>
      <c r="U55" s="210">
        <f t="shared" si="54"/>
        <v>54166.6666666667</v>
      </c>
      <c r="V55" s="210">
        <f t="shared" si="55"/>
        <v>54166.6666666667</v>
      </c>
      <c r="W55" s="212">
        <f t="shared" si="56"/>
        <v>650000</v>
      </c>
      <c r="X55" s="188">
        <f t="shared" si="61"/>
        <v>46</v>
      </c>
      <c r="Y55" s="170"/>
    </row>
    <row r="56" spans="1:25">
      <c r="A56" s="233"/>
      <c r="B56" s="168"/>
      <c r="C56" s="213"/>
      <c r="D56" s="186"/>
      <c r="E56" s="214"/>
      <c r="F56" s="210"/>
      <c r="G56" s="198">
        <f>SUM(G37:G55)</f>
        <v>31802000</v>
      </c>
      <c r="H56" s="199"/>
      <c r="I56" s="232"/>
      <c r="J56" s="234">
        <f>SUM(J36:J55)</f>
        <v>18750750</v>
      </c>
      <c r="K56" s="234">
        <f t="shared" ref="K56:N56" si="62">SUM(K45:K55)</f>
        <v>262916.666666667</v>
      </c>
      <c r="L56" s="234">
        <f t="shared" si="62"/>
        <v>262916.666666667</v>
      </c>
      <c r="M56" s="234">
        <f t="shared" si="62"/>
        <v>262916.666666667</v>
      </c>
      <c r="N56" s="234">
        <f t="shared" si="62"/>
        <v>262916.666666667</v>
      </c>
      <c r="O56" s="235"/>
      <c r="P56" s="235"/>
      <c r="Q56" s="235"/>
      <c r="R56" s="235"/>
      <c r="S56" s="236"/>
      <c r="T56" s="234"/>
      <c r="U56" s="235"/>
      <c r="V56" s="235"/>
      <c r="W56" s="237"/>
      <c r="X56" s="170"/>
      <c r="Y56" s="170"/>
    </row>
    <row r="57" spans="1:25">
      <c r="A57" s="233"/>
      <c r="B57" s="168"/>
      <c r="C57" s="213"/>
      <c r="D57" s="186"/>
      <c r="E57" s="214"/>
      <c r="F57" s="210"/>
      <c r="G57" s="203">
        <f>SUM(G28+G34+G56)</f>
        <v>67885000</v>
      </c>
      <c r="H57" s="199"/>
      <c r="I57" s="199"/>
      <c r="J57" s="199"/>
      <c r="K57" s="199"/>
      <c r="L57" s="199"/>
      <c r="M57" s="199"/>
      <c r="N57" s="199"/>
      <c r="O57" s="199"/>
      <c r="P57" s="199"/>
      <c r="Q57" s="199"/>
      <c r="R57" s="199"/>
      <c r="S57" s="238"/>
      <c r="T57" s="199"/>
      <c r="U57" s="199"/>
      <c r="V57" s="199"/>
      <c r="W57" s="239"/>
      <c r="X57" s="170"/>
      <c r="Y57" s="170"/>
    </row>
    <row r="58" spans="1:25">
      <c r="A58" s="240">
        <v>30</v>
      </c>
      <c r="B58" s="184" t="s">
        <v>1018</v>
      </c>
      <c r="C58" s="1063" t="s">
        <v>1019</v>
      </c>
      <c r="D58" s="186" t="s">
        <v>983</v>
      </c>
      <c r="E58" s="187">
        <v>1</v>
      </c>
      <c r="F58" s="241">
        <v>1200000</v>
      </c>
      <c r="G58" s="210">
        <f>F58*E58</f>
        <v>1200000</v>
      </c>
      <c r="H58" s="180">
        <v>60</v>
      </c>
      <c r="I58" s="232">
        <f t="shared" ref="I58:I66" si="63">SUM(G58/H58)</f>
        <v>20000</v>
      </c>
      <c r="J58" s="242"/>
      <c r="K58" s="242"/>
      <c r="L58" s="242"/>
      <c r="M58" s="242"/>
      <c r="N58" s="242"/>
      <c r="O58" s="231">
        <f t="shared" ref="O58:O66" si="64">I58</f>
        <v>20000</v>
      </c>
      <c r="P58" s="180">
        <f t="shared" ref="P58:P66" si="65">SUM(I58)</f>
        <v>20000</v>
      </c>
      <c r="Q58" s="180">
        <f t="shared" ref="Q58:Q66" si="66">SUM(I58)</f>
        <v>20000</v>
      </c>
      <c r="R58" s="180">
        <f t="shared" ref="R58:R66" si="67">SUM(I58)</f>
        <v>20000</v>
      </c>
      <c r="S58" s="211">
        <f t="shared" ref="S58:S66" si="68">SUM(I58)</f>
        <v>20000</v>
      </c>
      <c r="T58" s="243">
        <f t="shared" ref="T58:T66" si="69">SUM(I58)</f>
        <v>20000</v>
      </c>
      <c r="U58" s="243">
        <f t="shared" ref="U58:U66" si="70">SUM(I58)</f>
        <v>20000</v>
      </c>
      <c r="V58" s="244">
        <f t="shared" ref="V58:V66" si="71">SUM(I58)</f>
        <v>20000</v>
      </c>
      <c r="W58" s="245">
        <f t="shared" ref="W58:W66" si="72">SUM(K58:V58)</f>
        <v>160000</v>
      </c>
      <c r="X58" s="188">
        <f t="shared" ref="X58:X66" si="73">SUM(H58-8)</f>
        <v>52</v>
      </c>
      <c r="Y58" s="170"/>
    </row>
    <row r="59" spans="1:25">
      <c r="A59" s="240">
        <v>31</v>
      </c>
      <c r="B59" s="184" t="s">
        <v>1020</v>
      </c>
      <c r="C59" s="1063" t="s">
        <v>1019</v>
      </c>
      <c r="D59" s="186" t="s">
        <v>983</v>
      </c>
      <c r="E59" s="187">
        <v>1</v>
      </c>
      <c r="F59" s="241">
        <v>100000</v>
      </c>
      <c r="G59" s="210">
        <f t="shared" ref="G59:G66" si="74">SUM(E59*F59)</f>
        <v>100000</v>
      </c>
      <c r="H59" s="180">
        <v>60</v>
      </c>
      <c r="I59" s="232">
        <f t="shared" si="63"/>
        <v>1666.66666666667</v>
      </c>
      <c r="J59" s="170"/>
      <c r="K59" s="170"/>
      <c r="L59" s="170"/>
      <c r="M59" s="170"/>
      <c r="N59" s="242"/>
      <c r="O59" s="231">
        <f t="shared" si="64"/>
        <v>1666.66666666667</v>
      </c>
      <c r="P59" s="180">
        <f t="shared" si="65"/>
        <v>1666.66666666667</v>
      </c>
      <c r="Q59" s="180">
        <f t="shared" si="66"/>
        <v>1666.66666666667</v>
      </c>
      <c r="R59" s="180">
        <f t="shared" si="67"/>
        <v>1666.66666666667</v>
      </c>
      <c r="S59" s="211">
        <f t="shared" si="68"/>
        <v>1666.66666666667</v>
      </c>
      <c r="T59" s="243">
        <f t="shared" si="69"/>
        <v>1666.66666666667</v>
      </c>
      <c r="U59" s="243">
        <f t="shared" si="70"/>
        <v>1666.66666666667</v>
      </c>
      <c r="V59" s="244">
        <f t="shared" si="71"/>
        <v>1666.66666666667</v>
      </c>
      <c r="W59" s="245">
        <f t="shared" si="72"/>
        <v>13333.3333333333</v>
      </c>
      <c r="X59" s="188">
        <f t="shared" si="73"/>
        <v>52</v>
      </c>
      <c r="Y59" s="170"/>
    </row>
    <row r="60" ht="21" spans="1:25">
      <c r="A60" s="240">
        <v>32</v>
      </c>
      <c r="B60" s="184" t="s">
        <v>1021</v>
      </c>
      <c r="C60" s="1063" t="s">
        <v>1019</v>
      </c>
      <c r="D60" s="186" t="s">
        <v>983</v>
      </c>
      <c r="E60" s="187">
        <v>1</v>
      </c>
      <c r="F60" s="241">
        <v>185000</v>
      </c>
      <c r="G60" s="210">
        <f t="shared" si="74"/>
        <v>185000</v>
      </c>
      <c r="H60" s="180">
        <v>60</v>
      </c>
      <c r="I60" s="232">
        <f t="shared" si="63"/>
        <v>3083.33333333333</v>
      </c>
      <c r="J60" s="246"/>
      <c r="K60" s="246"/>
      <c r="L60" s="246"/>
      <c r="M60" s="170"/>
      <c r="N60" s="242"/>
      <c r="O60" s="231">
        <f t="shared" si="64"/>
        <v>3083.33333333333</v>
      </c>
      <c r="P60" s="180">
        <f t="shared" si="65"/>
        <v>3083.33333333333</v>
      </c>
      <c r="Q60" s="180">
        <f t="shared" si="66"/>
        <v>3083.33333333333</v>
      </c>
      <c r="R60" s="180">
        <f t="shared" si="67"/>
        <v>3083.33333333333</v>
      </c>
      <c r="S60" s="211">
        <f t="shared" si="68"/>
        <v>3083.33333333333</v>
      </c>
      <c r="T60" s="243">
        <f t="shared" si="69"/>
        <v>3083.33333333333</v>
      </c>
      <c r="U60" s="243">
        <f t="shared" si="70"/>
        <v>3083.33333333333</v>
      </c>
      <c r="V60" s="244">
        <f t="shared" si="71"/>
        <v>3083.33333333333</v>
      </c>
      <c r="W60" s="245">
        <f t="shared" si="72"/>
        <v>24666.6666666667</v>
      </c>
      <c r="X60" s="188">
        <f t="shared" si="73"/>
        <v>52</v>
      </c>
      <c r="Y60" s="170"/>
    </row>
    <row r="61" hidden="1" spans="1:25">
      <c r="A61" s="240">
        <v>33</v>
      </c>
      <c r="B61" s="184" t="s">
        <v>1022</v>
      </c>
      <c r="C61" s="1063" t="s">
        <v>1023</v>
      </c>
      <c r="D61" s="186" t="s">
        <v>983</v>
      </c>
      <c r="E61" s="187">
        <v>1</v>
      </c>
      <c r="F61" s="241">
        <v>500000</v>
      </c>
      <c r="G61" s="210">
        <f t="shared" si="74"/>
        <v>500000</v>
      </c>
      <c r="H61" s="180">
        <v>12</v>
      </c>
      <c r="I61" s="232">
        <f t="shared" si="63"/>
        <v>41666.6666666667</v>
      </c>
      <c r="J61" s="247"/>
      <c r="K61" s="247"/>
      <c r="L61" s="180"/>
      <c r="M61" s="180">
        <f t="shared" ref="M61:M65" si="75">K61*I61</f>
        <v>0</v>
      </c>
      <c r="N61" s="242"/>
      <c r="O61" s="231">
        <f t="shared" si="64"/>
        <v>41666.6666666667</v>
      </c>
      <c r="P61" s="180">
        <f t="shared" si="65"/>
        <v>41666.6666666667</v>
      </c>
      <c r="Q61" s="180">
        <f t="shared" si="66"/>
        <v>41666.6666666667</v>
      </c>
      <c r="R61" s="180">
        <f t="shared" si="67"/>
        <v>41666.6666666667</v>
      </c>
      <c r="S61" s="211">
        <f t="shared" si="68"/>
        <v>41666.6666666667</v>
      </c>
      <c r="T61" s="243">
        <f t="shared" si="69"/>
        <v>41666.6666666667</v>
      </c>
      <c r="U61" s="243">
        <f t="shared" si="70"/>
        <v>41666.6666666667</v>
      </c>
      <c r="V61" s="244">
        <f t="shared" si="71"/>
        <v>41666.6666666667</v>
      </c>
      <c r="W61" s="245">
        <f t="shared" si="72"/>
        <v>333333.333333333</v>
      </c>
      <c r="X61" s="188">
        <f t="shared" si="73"/>
        <v>4</v>
      </c>
      <c r="Y61" s="170"/>
    </row>
    <row r="62" hidden="1" spans="1:25">
      <c r="A62" s="204">
        <v>10</v>
      </c>
      <c r="B62" s="205"/>
      <c r="C62" s="248"/>
      <c r="D62" s="186" t="s">
        <v>983</v>
      </c>
      <c r="E62" s="207"/>
      <c r="F62" s="208"/>
      <c r="G62" s="210">
        <f t="shared" si="74"/>
        <v>0</v>
      </c>
      <c r="H62" s="209"/>
      <c r="I62" s="232" t="e">
        <f t="shared" si="63"/>
        <v>#DIV/0!</v>
      </c>
      <c r="J62" s="210"/>
      <c r="K62" s="210"/>
      <c r="L62" s="180"/>
      <c r="M62" s="180" t="e">
        <f t="shared" si="75"/>
        <v>#DIV/0!</v>
      </c>
      <c r="N62" s="242"/>
      <c r="O62" s="231" t="e">
        <f t="shared" si="64"/>
        <v>#DIV/0!</v>
      </c>
      <c r="P62" s="180" t="e">
        <f t="shared" si="65"/>
        <v>#DIV/0!</v>
      </c>
      <c r="Q62" s="180" t="e">
        <f t="shared" si="66"/>
        <v>#DIV/0!</v>
      </c>
      <c r="R62" s="180" t="e">
        <f t="shared" si="67"/>
        <v>#DIV/0!</v>
      </c>
      <c r="S62" s="211" t="e">
        <f t="shared" si="68"/>
        <v>#DIV/0!</v>
      </c>
      <c r="T62" s="243" t="e">
        <f t="shared" si="69"/>
        <v>#DIV/0!</v>
      </c>
      <c r="U62" s="243" t="e">
        <f t="shared" si="70"/>
        <v>#DIV/0!</v>
      </c>
      <c r="V62" s="244" t="e">
        <f t="shared" si="71"/>
        <v>#DIV/0!</v>
      </c>
      <c r="W62" s="245" t="e">
        <f t="shared" si="72"/>
        <v>#DIV/0!</v>
      </c>
      <c r="X62" s="188">
        <f t="shared" si="73"/>
        <v>-8</v>
      </c>
      <c r="Y62" s="170"/>
    </row>
    <row r="63" hidden="1" spans="1:25">
      <c r="A63" s="204">
        <v>11</v>
      </c>
      <c r="B63" s="249"/>
      <c r="C63" s="248"/>
      <c r="D63" s="186" t="s">
        <v>983</v>
      </c>
      <c r="E63" s="207"/>
      <c r="F63" s="208"/>
      <c r="G63" s="210">
        <f t="shared" si="74"/>
        <v>0</v>
      </c>
      <c r="H63" s="209"/>
      <c r="I63" s="232" t="e">
        <f t="shared" si="63"/>
        <v>#DIV/0!</v>
      </c>
      <c r="J63" s="210"/>
      <c r="K63" s="210"/>
      <c r="L63" s="180"/>
      <c r="M63" s="180" t="e">
        <f t="shared" si="75"/>
        <v>#DIV/0!</v>
      </c>
      <c r="N63" s="242"/>
      <c r="O63" s="231" t="e">
        <f t="shared" si="64"/>
        <v>#DIV/0!</v>
      </c>
      <c r="P63" s="180" t="e">
        <f t="shared" si="65"/>
        <v>#DIV/0!</v>
      </c>
      <c r="Q63" s="180" t="e">
        <f t="shared" si="66"/>
        <v>#DIV/0!</v>
      </c>
      <c r="R63" s="180" t="e">
        <f t="shared" si="67"/>
        <v>#DIV/0!</v>
      </c>
      <c r="S63" s="211" t="e">
        <f t="shared" si="68"/>
        <v>#DIV/0!</v>
      </c>
      <c r="T63" s="243" t="e">
        <f t="shared" si="69"/>
        <v>#DIV/0!</v>
      </c>
      <c r="U63" s="243" t="e">
        <f t="shared" si="70"/>
        <v>#DIV/0!</v>
      </c>
      <c r="V63" s="244" t="e">
        <f t="shared" si="71"/>
        <v>#DIV/0!</v>
      </c>
      <c r="W63" s="245" t="e">
        <f t="shared" si="72"/>
        <v>#DIV/0!</v>
      </c>
      <c r="X63" s="188">
        <f t="shared" si="73"/>
        <v>-8</v>
      </c>
      <c r="Y63" s="170"/>
    </row>
    <row r="64" hidden="1" spans="1:25">
      <c r="A64" s="204">
        <v>12</v>
      </c>
      <c r="B64" s="205"/>
      <c r="C64" s="248"/>
      <c r="D64" s="186" t="s">
        <v>983</v>
      </c>
      <c r="E64" s="207"/>
      <c r="F64" s="210"/>
      <c r="G64" s="210">
        <f t="shared" si="74"/>
        <v>0</v>
      </c>
      <c r="H64" s="209"/>
      <c r="I64" s="232" t="e">
        <f t="shared" si="63"/>
        <v>#DIV/0!</v>
      </c>
      <c r="J64" s="210"/>
      <c r="K64" s="210"/>
      <c r="L64" s="180"/>
      <c r="M64" s="180" t="e">
        <f t="shared" si="75"/>
        <v>#DIV/0!</v>
      </c>
      <c r="N64" s="242"/>
      <c r="O64" s="231" t="e">
        <f t="shared" si="64"/>
        <v>#DIV/0!</v>
      </c>
      <c r="P64" s="180" t="e">
        <f t="shared" si="65"/>
        <v>#DIV/0!</v>
      </c>
      <c r="Q64" s="180" t="e">
        <f t="shared" si="66"/>
        <v>#DIV/0!</v>
      </c>
      <c r="R64" s="180" t="e">
        <f t="shared" si="67"/>
        <v>#DIV/0!</v>
      </c>
      <c r="S64" s="211" t="e">
        <f t="shared" si="68"/>
        <v>#DIV/0!</v>
      </c>
      <c r="T64" s="243" t="e">
        <f t="shared" si="69"/>
        <v>#DIV/0!</v>
      </c>
      <c r="U64" s="243" t="e">
        <f t="shared" si="70"/>
        <v>#DIV/0!</v>
      </c>
      <c r="V64" s="244" t="e">
        <f t="shared" si="71"/>
        <v>#DIV/0!</v>
      </c>
      <c r="W64" s="245" t="e">
        <f t="shared" si="72"/>
        <v>#DIV/0!</v>
      </c>
      <c r="X64" s="188">
        <f t="shared" si="73"/>
        <v>-8</v>
      </c>
      <c r="Y64" s="170"/>
    </row>
    <row r="65" hidden="1" spans="1:25 16384:16384">
      <c r="A65" s="204">
        <v>13</v>
      </c>
      <c r="B65" s="205"/>
      <c r="C65" s="248"/>
      <c r="D65" s="186" t="s">
        <v>983</v>
      </c>
      <c r="E65" s="207"/>
      <c r="F65" s="210"/>
      <c r="G65" s="210">
        <f t="shared" si="74"/>
        <v>0</v>
      </c>
      <c r="H65" s="209"/>
      <c r="I65" s="232" t="e">
        <f t="shared" si="63"/>
        <v>#DIV/0!</v>
      </c>
      <c r="J65" s="210"/>
      <c r="K65" s="210"/>
      <c r="L65" s="180"/>
      <c r="M65" s="180" t="e">
        <f t="shared" si="75"/>
        <v>#DIV/0!</v>
      </c>
      <c r="N65" s="242"/>
      <c r="O65" s="231" t="e">
        <f t="shared" si="64"/>
        <v>#DIV/0!</v>
      </c>
      <c r="P65" s="180" t="e">
        <f t="shared" si="65"/>
        <v>#DIV/0!</v>
      </c>
      <c r="Q65" s="180" t="e">
        <f t="shared" si="66"/>
        <v>#DIV/0!</v>
      </c>
      <c r="R65" s="180" t="e">
        <f t="shared" si="67"/>
        <v>#DIV/0!</v>
      </c>
      <c r="S65" s="211" t="e">
        <f t="shared" si="68"/>
        <v>#DIV/0!</v>
      </c>
      <c r="T65" s="243" t="e">
        <f t="shared" si="69"/>
        <v>#DIV/0!</v>
      </c>
      <c r="U65" s="243" t="e">
        <f t="shared" si="70"/>
        <v>#DIV/0!</v>
      </c>
      <c r="V65" s="244" t="e">
        <f t="shared" si="71"/>
        <v>#DIV/0!</v>
      </c>
      <c r="W65" s="245" t="e">
        <f t="shared" si="72"/>
        <v>#DIV/0!</v>
      </c>
      <c r="X65" s="188">
        <f t="shared" si="73"/>
        <v>-8</v>
      </c>
      <c r="Y65" s="170"/>
    </row>
    <row r="66" spans="1:25 16384:16384">
      <c r="A66" s="240">
        <v>33</v>
      </c>
      <c r="B66" s="184" t="s">
        <v>1022</v>
      </c>
      <c r="C66" s="1063" t="s">
        <v>1023</v>
      </c>
      <c r="D66" s="186" t="s">
        <v>983</v>
      </c>
      <c r="E66" s="187">
        <v>1</v>
      </c>
      <c r="F66" s="241">
        <v>500000</v>
      </c>
      <c r="G66" s="210">
        <f t="shared" si="74"/>
        <v>500000</v>
      </c>
      <c r="H66" s="180">
        <v>60</v>
      </c>
      <c r="I66" s="232">
        <f t="shared" si="63"/>
        <v>8333.33333333333</v>
      </c>
      <c r="J66" s="170"/>
      <c r="K66" s="170"/>
      <c r="L66" s="170"/>
      <c r="M66" s="170"/>
      <c r="N66" s="242"/>
      <c r="O66" s="231">
        <f t="shared" si="64"/>
        <v>8333.33333333333</v>
      </c>
      <c r="P66" s="180">
        <f t="shared" si="65"/>
        <v>8333.33333333333</v>
      </c>
      <c r="Q66" s="180">
        <f t="shared" si="66"/>
        <v>8333.33333333333</v>
      </c>
      <c r="R66" s="180">
        <f t="shared" si="67"/>
        <v>8333.33333333333</v>
      </c>
      <c r="S66" s="211">
        <f t="shared" si="68"/>
        <v>8333.33333333333</v>
      </c>
      <c r="T66" s="243">
        <f t="shared" si="69"/>
        <v>8333.33333333333</v>
      </c>
      <c r="U66" s="243">
        <f t="shared" si="70"/>
        <v>8333.33333333333</v>
      </c>
      <c r="V66" s="244">
        <f t="shared" si="71"/>
        <v>8333.33333333333</v>
      </c>
      <c r="W66" s="245">
        <f t="shared" si="72"/>
        <v>66666.6666666667</v>
      </c>
      <c r="X66" s="188">
        <f t="shared" si="73"/>
        <v>52</v>
      </c>
      <c r="Y66" s="170"/>
    </row>
    <row r="67" spans="1:25 16384:16384">
      <c r="A67" s="240"/>
      <c r="B67" s="184"/>
      <c r="C67" s="185"/>
      <c r="D67" s="186"/>
      <c r="E67" s="187"/>
      <c r="F67" s="241"/>
      <c r="G67" s="198">
        <f>SUM(G58:G66)</f>
        <v>2485000</v>
      </c>
      <c r="H67" s="180"/>
      <c r="I67" s="232"/>
      <c r="J67" s="250"/>
      <c r="K67" s="251"/>
      <c r="L67" s="251"/>
      <c r="M67" s="251"/>
      <c r="N67" s="251"/>
      <c r="O67" s="252">
        <v>563116</v>
      </c>
      <c r="P67" s="251"/>
      <c r="Q67" s="251"/>
      <c r="R67" s="251"/>
      <c r="S67" s="251"/>
      <c r="T67" s="244"/>
      <c r="U67" s="251"/>
      <c r="V67" s="253"/>
      <c r="W67" s="254"/>
      <c r="X67" s="170"/>
      <c r="Y67" s="170"/>
    </row>
    <row r="68" spans="1:25 16384:16384">
      <c r="A68" s="240"/>
      <c r="B68" s="184"/>
      <c r="C68" s="185"/>
      <c r="D68" s="186"/>
      <c r="E68" s="187"/>
      <c r="F68" s="241"/>
      <c r="G68" s="203">
        <f>SUM(G28+G34+G56+G67)</f>
        <v>70370000</v>
      </c>
      <c r="H68" s="180"/>
      <c r="I68" s="232"/>
      <c r="J68" s="255"/>
      <c r="K68" s="256"/>
      <c r="L68" s="256"/>
      <c r="M68" s="256"/>
      <c r="N68" s="256"/>
      <c r="O68" s="256"/>
      <c r="P68" s="256"/>
      <c r="Q68" s="256"/>
      <c r="R68" s="256"/>
      <c r="S68" s="256"/>
      <c r="T68" s="256"/>
      <c r="U68" s="256"/>
      <c r="V68" s="256"/>
      <c r="W68" s="256"/>
      <c r="X68" s="170"/>
      <c r="Y68" s="170"/>
    </row>
    <row r="69" spans="1:25 16384:16384">
      <c r="A69" s="240">
        <v>34</v>
      </c>
      <c r="B69" s="185" t="s">
        <v>1024</v>
      </c>
      <c r="C69" s="1063" t="s">
        <v>1025</v>
      </c>
      <c r="D69" s="186" t="s">
        <v>983</v>
      </c>
      <c r="E69" s="187">
        <v>2</v>
      </c>
      <c r="F69" s="180">
        <v>116500</v>
      </c>
      <c r="G69" s="210">
        <f t="shared" ref="G69:G74" si="76">SUM(E69*F69)</f>
        <v>233000</v>
      </c>
      <c r="H69" s="180">
        <v>60</v>
      </c>
      <c r="I69" s="232">
        <f t="shared" ref="I69:I74" si="77">SUM(G69/H69)</f>
        <v>3883.33333333333</v>
      </c>
      <c r="J69" s="170"/>
      <c r="K69" s="170"/>
      <c r="L69" s="170"/>
      <c r="M69" s="170"/>
      <c r="N69" s="242"/>
      <c r="O69" s="242"/>
      <c r="P69" s="180">
        <f>SUM(I69)</f>
        <v>3883.33333333333</v>
      </c>
      <c r="Q69" s="180">
        <f t="shared" ref="Q69:Q74" si="78">SUM(I69)</f>
        <v>3883.33333333333</v>
      </c>
      <c r="R69" s="180">
        <f t="shared" ref="R69:R74" si="79">SUM(I69)</f>
        <v>3883.33333333333</v>
      </c>
      <c r="S69" s="211">
        <f t="shared" ref="S69:S74" si="80">SUM(I69)</f>
        <v>3883.33333333333</v>
      </c>
      <c r="T69" s="243">
        <f t="shared" ref="T69:T74" si="81">SUM(I69)</f>
        <v>3883.33333333333</v>
      </c>
      <c r="U69" s="243">
        <f t="shared" ref="U69:U74" si="82">SUM(I69)</f>
        <v>3883.33333333333</v>
      </c>
      <c r="V69" s="244">
        <f t="shared" ref="V69:V74" si="83">SUM(I69)</f>
        <v>3883.33333333333</v>
      </c>
      <c r="W69" s="257">
        <f t="shared" ref="W69:W74" si="84">SUM(K69:V69)</f>
        <v>27183.3333333333</v>
      </c>
      <c r="X69" s="188">
        <f>SUM(H69-7)</f>
        <v>53</v>
      </c>
      <c r="Y69" s="170"/>
    </row>
    <row r="70" spans="1:25 16384:16384">
      <c r="A70" s="240"/>
      <c r="B70" s="185"/>
      <c r="C70" s="185"/>
      <c r="D70" s="186"/>
      <c r="E70" s="187"/>
      <c r="F70" s="180"/>
      <c r="G70" s="198">
        <f>SUM(G69:G69)</f>
        <v>233000</v>
      </c>
      <c r="H70" s="180"/>
      <c r="I70" s="232"/>
      <c r="J70" s="250"/>
      <c r="K70" s="251"/>
      <c r="L70" s="251"/>
      <c r="M70" s="251"/>
      <c r="N70" s="251"/>
      <c r="O70" s="251"/>
      <c r="P70" s="258">
        <v>566999</v>
      </c>
      <c r="Q70" s="251"/>
      <c r="R70" s="251"/>
      <c r="S70" s="251"/>
      <c r="T70" s="251"/>
      <c r="U70" s="251"/>
      <c r="V70" s="253"/>
      <c r="W70" s="254"/>
      <c r="X70" s="170"/>
      <c r="Y70" s="170"/>
    </row>
    <row r="71" spans="1:25 16384:16384">
      <c r="A71" s="240"/>
      <c r="B71" s="185"/>
      <c r="C71" s="185"/>
      <c r="D71" s="186"/>
      <c r="E71" s="187"/>
      <c r="F71" s="180"/>
      <c r="G71" s="203">
        <f>SUM(G28+G34+G56+G67+G70)</f>
        <v>70603000</v>
      </c>
      <c r="H71" s="180"/>
      <c r="I71" s="232"/>
      <c r="J71" s="259"/>
      <c r="K71" s="260"/>
      <c r="L71" s="260"/>
      <c r="M71" s="260"/>
      <c r="N71" s="260"/>
      <c r="O71" s="260"/>
      <c r="P71" s="260"/>
      <c r="Q71" s="260"/>
      <c r="R71" s="260"/>
      <c r="S71" s="260"/>
      <c r="T71" s="260"/>
      <c r="U71" s="260"/>
      <c r="V71" s="261"/>
      <c r="W71" s="262"/>
      <c r="X71" s="170"/>
      <c r="Y71" s="170"/>
    </row>
    <row r="72" spans="1:25 16384:16384">
      <c r="A72" s="183">
        <v>35</v>
      </c>
      <c r="B72" s="184" t="s">
        <v>1026</v>
      </c>
      <c r="C72" s="185" t="s">
        <v>1027</v>
      </c>
      <c r="D72" s="186"/>
      <c r="E72" s="187">
        <v>8</v>
      </c>
      <c r="F72" s="241">
        <v>35000</v>
      </c>
      <c r="G72" s="210">
        <f t="shared" si="76"/>
        <v>280000</v>
      </c>
      <c r="H72" s="241">
        <v>60</v>
      </c>
      <c r="I72" s="232">
        <f t="shared" si="77"/>
        <v>4666.66666666667</v>
      </c>
      <c r="J72" s="170"/>
      <c r="K72" s="170"/>
      <c r="L72" s="170"/>
      <c r="M72" s="170"/>
      <c r="N72" s="170"/>
      <c r="O72" s="180"/>
      <c r="P72" s="263"/>
      <c r="Q72" s="180">
        <f t="shared" si="78"/>
        <v>4666.66666666667</v>
      </c>
      <c r="R72" s="180">
        <f t="shared" si="79"/>
        <v>4666.66666666667</v>
      </c>
      <c r="S72" s="211">
        <f t="shared" si="80"/>
        <v>4666.66666666667</v>
      </c>
      <c r="T72" s="243">
        <f t="shared" si="81"/>
        <v>4666.66666666667</v>
      </c>
      <c r="U72" s="243">
        <f t="shared" si="82"/>
        <v>4666.66666666667</v>
      </c>
      <c r="V72" s="244">
        <f t="shared" si="83"/>
        <v>4666.66666666667</v>
      </c>
      <c r="W72" s="257">
        <f t="shared" si="84"/>
        <v>28000</v>
      </c>
      <c r="X72" s="188">
        <f t="shared" ref="X72:X74" si="85">SUM(H72-6)</f>
        <v>54</v>
      </c>
      <c r="Y72" s="170"/>
    </row>
    <row r="73" spans="1:25 16384:16384">
      <c r="A73" s="183">
        <v>36</v>
      </c>
      <c r="B73" s="184" t="s">
        <v>1028</v>
      </c>
      <c r="C73" s="1063" t="s">
        <v>1029</v>
      </c>
      <c r="D73" s="186" t="s">
        <v>983</v>
      </c>
      <c r="E73" s="187">
        <v>15</v>
      </c>
      <c r="F73" s="241">
        <v>250000</v>
      </c>
      <c r="G73" s="210">
        <f t="shared" si="76"/>
        <v>3750000</v>
      </c>
      <c r="H73" s="241">
        <v>60</v>
      </c>
      <c r="I73" s="232">
        <f t="shared" si="77"/>
        <v>62500</v>
      </c>
      <c r="J73" s="170"/>
      <c r="K73" s="170"/>
      <c r="L73" s="170"/>
      <c r="M73" s="170"/>
      <c r="N73" s="170"/>
      <c r="O73" s="180"/>
      <c r="P73" s="170"/>
      <c r="Q73" s="180">
        <f t="shared" si="78"/>
        <v>62500</v>
      </c>
      <c r="R73" s="180">
        <f t="shared" si="79"/>
        <v>62500</v>
      </c>
      <c r="S73" s="211">
        <f t="shared" si="80"/>
        <v>62500</v>
      </c>
      <c r="T73" s="243">
        <f t="shared" si="81"/>
        <v>62500</v>
      </c>
      <c r="U73" s="243">
        <f t="shared" si="82"/>
        <v>62500</v>
      </c>
      <c r="V73" s="244">
        <f t="shared" si="83"/>
        <v>62500</v>
      </c>
      <c r="W73" s="257">
        <f t="shared" si="84"/>
        <v>375000</v>
      </c>
      <c r="X73" s="188">
        <f t="shared" si="85"/>
        <v>54</v>
      </c>
      <c r="Y73" s="170"/>
    </row>
    <row r="74" spans="1:25 16384:16384">
      <c r="A74" s="183">
        <v>37</v>
      </c>
      <c r="B74" s="184" t="s">
        <v>1011</v>
      </c>
      <c r="C74" s="1063" t="s">
        <v>1029</v>
      </c>
      <c r="D74" s="186" t="s">
        <v>983</v>
      </c>
      <c r="E74" s="187">
        <v>30</v>
      </c>
      <c r="F74" s="241">
        <v>35000</v>
      </c>
      <c r="G74" s="210">
        <f t="shared" si="76"/>
        <v>1050000</v>
      </c>
      <c r="H74" s="241">
        <v>60</v>
      </c>
      <c r="I74" s="232">
        <f t="shared" si="77"/>
        <v>17500</v>
      </c>
      <c r="J74" s="170"/>
      <c r="K74" s="170"/>
      <c r="L74" s="170"/>
      <c r="M74" s="170"/>
      <c r="N74" s="170"/>
      <c r="O74" s="180"/>
      <c r="P74" s="188"/>
      <c r="Q74" s="180">
        <f t="shared" si="78"/>
        <v>17500</v>
      </c>
      <c r="R74" s="180">
        <f t="shared" si="79"/>
        <v>17500</v>
      </c>
      <c r="S74" s="211">
        <f t="shared" si="80"/>
        <v>17500</v>
      </c>
      <c r="T74" s="243">
        <f t="shared" si="81"/>
        <v>17500</v>
      </c>
      <c r="U74" s="243">
        <f t="shared" si="82"/>
        <v>17500</v>
      </c>
      <c r="V74" s="244">
        <f t="shared" si="83"/>
        <v>17500</v>
      </c>
      <c r="W74" s="257">
        <f t="shared" si="84"/>
        <v>105000</v>
      </c>
      <c r="X74" s="188">
        <f t="shared" si="85"/>
        <v>54</v>
      </c>
      <c r="Y74" s="170"/>
    </row>
    <row r="75" spans="1:25 16384:16384">
      <c r="A75" s="183"/>
      <c r="B75" s="184"/>
      <c r="C75" s="185"/>
      <c r="D75" s="186"/>
      <c r="E75" s="187"/>
      <c r="F75" s="241"/>
      <c r="G75" s="198">
        <f>SUM(G72:G74)</f>
        <v>5080000</v>
      </c>
      <c r="H75" s="241"/>
      <c r="I75" s="232"/>
      <c r="J75" s="250"/>
      <c r="K75" s="251"/>
      <c r="L75" s="251"/>
      <c r="M75" s="251"/>
      <c r="N75" s="251"/>
      <c r="O75" s="251"/>
      <c r="P75" s="251"/>
      <c r="Q75" s="258">
        <v>651666</v>
      </c>
      <c r="R75" s="251"/>
      <c r="S75" s="251"/>
      <c r="T75" s="251"/>
      <c r="U75" s="251"/>
      <c r="V75" s="253"/>
      <c r="W75" s="254"/>
      <c r="X75" s="170"/>
      <c r="Y75" s="170"/>
    </row>
    <row r="76" spans="1:25 16384:16384">
      <c r="A76" s="183"/>
      <c r="B76" s="184"/>
      <c r="C76" s="185"/>
      <c r="D76" s="186"/>
      <c r="E76" s="187"/>
      <c r="F76" s="241"/>
      <c r="G76" s="203">
        <f>SUM(G28+G34+G56+G67+G70+G75)</f>
        <v>75683000</v>
      </c>
      <c r="H76" s="241"/>
      <c r="I76" s="232"/>
      <c r="J76" s="255"/>
      <c r="K76" s="256"/>
      <c r="L76" s="256"/>
      <c r="M76" s="256"/>
      <c r="N76" s="256"/>
      <c r="O76" s="256"/>
      <c r="P76" s="256"/>
      <c r="Q76" s="256"/>
      <c r="R76" s="256"/>
      <c r="S76" s="256"/>
      <c r="T76" s="256"/>
      <c r="U76" s="256"/>
      <c r="V76" s="256"/>
      <c r="W76" s="256"/>
      <c r="X76" s="170"/>
      <c r="Y76" s="170"/>
    </row>
    <row r="77" spans="1:25 16384:16384">
      <c r="A77" s="183">
        <v>38</v>
      </c>
      <c r="B77" s="184" t="s">
        <v>1030</v>
      </c>
      <c r="C77" s="1063" t="s">
        <v>1031</v>
      </c>
      <c r="D77" s="186" t="s">
        <v>983</v>
      </c>
      <c r="E77" s="187">
        <v>1</v>
      </c>
      <c r="F77" s="180">
        <v>1950000</v>
      </c>
      <c r="G77" s="210">
        <f>SUM(E77*F77)</f>
        <v>1950000</v>
      </c>
      <c r="H77" s="241">
        <v>60</v>
      </c>
      <c r="I77" s="232">
        <f>SUM(G77/H77)</f>
        <v>32500</v>
      </c>
      <c r="J77" s="170"/>
      <c r="K77" s="170"/>
      <c r="L77" s="170"/>
      <c r="M77" s="170"/>
      <c r="N77" s="170"/>
      <c r="O77" s="180"/>
      <c r="P77" s="170"/>
      <c r="Q77" s="263"/>
      <c r="R77" s="180">
        <f>SUM(I77)</f>
        <v>32500</v>
      </c>
      <c r="S77" s="211">
        <f>SUM(I77)</f>
        <v>32500</v>
      </c>
      <c r="T77" s="243">
        <f>SUM(I77)</f>
        <v>32500</v>
      </c>
      <c r="U77" s="243">
        <f>SUM(I77)</f>
        <v>32500</v>
      </c>
      <c r="V77" s="244">
        <f>SUM(I77)</f>
        <v>32500</v>
      </c>
      <c r="W77" s="257">
        <f>SUM(K77:V77)</f>
        <v>162500</v>
      </c>
      <c r="X77" s="188">
        <f>H77-5</f>
        <v>55</v>
      </c>
      <c r="Y77" s="170"/>
      <c r="XFD77">
        <f>SUM(A77:XFC77)</f>
        <v>4257654</v>
      </c>
    </row>
    <row r="78" spans="1:25 16384:16384">
      <c r="A78" s="189"/>
      <c r="B78" s="190"/>
      <c r="C78" s="191"/>
      <c r="D78" s="192"/>
      <c r="E78" s="193"/>
      <c r="F78" s="194"/>
      <c r="G78" s="198">
        <f>SUM(G77:G77)</f>
        <v>1950000</v>
      </c>
      <c r="H78" s="264"/>
      <c r="I78" s="265"/>
      <c r="J78" s="266"/>
      <c r="K78" s="254"/>
      <c r="L78" s="254"/>
      <c r="M78" s="254"/>
      <c r="N78" s="254"/>
      <c r="O78" s="254"/>
      <c r="P78" s="254"/>
      <c r="Q78" s="254"/>
      <c r="R78" s="254"/>
      <c r="S78" s="254"/>
      <c r="T78" s="254"/>
      <c r="U78" s="254"/>
      <c r="V78" s="267"/>
      <c r="W78" s="254"/>
      <c r="X78" s="170"/>
      <c r="Y78" s="170"/>
    </row>
    <row r="79" spans="1:25 16384:16384">
      <c r="A79" s="189"/>
      <c r="B79" s="190"/>
      <c r="C79" s="191"/>
      <c r="D79" s="192"/>
      <c r="E79" s="193"/>
      <c r="F79" s="194"/>
      <c r="G79" s="203">
        <f>SUM(G18+G28+G34+G56+G67+G70+G75+G78)</f>
        <v>230133000</v>
      </c>
      <c r="H79" s="264"/>
      <c r="I79" s="265"/>
      <c r="J79" s="268"/>
      <c r="K79" s="262"/>
      <c r="L79" s="262"/>
      <c r="M79" s="262"/>
      <c r="N79" s="262"/>
      <c r="O79" s="262"/>
      <c r="P79" s="262"/>
      <c r="Q79" s="262"/>
      <c r="R79" s="262"/>
      <c r="S79" s="262"/>
      <c r="T79" s="262"/>
      <c r="U79" s="262"/>
      <c r="V79" s="269"/>
      <c r="W79" s="262"/>
      <c r="X79" s="170"/>
      <c r="Y79" s="170"/>
    </row>
    <row r="80" spans="1:25 16384:16384">
      <c r="A80" s="189">
        <v>39</v>
      </c>
      <c r="B80" s="190" t="s">
        <v>1032</v>
      </c>
      <c r="C80" s="1064" t="s">
        <v>1033</v>
      </c>
      <c r="D80" s="192" t="s">
        <v>983</v>
      </c>
      <c r="E80" s="193">
        <v>1</v>
      </c>
      <c r="F80" s="194">
        <v>1600000</v>
      </c>
      <c r="G80" s="210">
        <f>SUM(E80*F80)</f>
        <v>1600000</v>
      </c>
      <c r="H80" s="264">
        <v>60</v>
      </c>
      <c r="I80" s="265">
        <f>SUM(G80/H80)</f>
        <v>26666.6666666667</v>
      </c>
      <c r="J80" s="170"/>
      <c r="K80" s="170"/>
      <c r="L80" s="170"/>
      <c r="M80" s="170"/>
      <c r="N80" s="170"/>
      <c r="O80" s="180"/>
      <c r="P80" s="170"/>
      <c r="Q80" s="263"/>
      <c r="R80" s="180"/>
      <c r="S80" s="211">
        <f>SUM(I80)</f>
        <v>26666.6666666667</v>
      </c>
      <c r="T80" s="243">
        <f>SUM(I80)</f>
        <v>26666.6666666667</v>
      </c>
      <c r="U80" s="243">
        <f>SUM(I80)</f>
        <v>26666.6666666667</v>
      </c>
      <c r="V80" s="270">
        <f>SUM(I80)</f>
        <v>26666.6666666667</v>
      </c>
      <c r="W80" s="271">
        <f>SUM(K80:V80)</f>
        <v>106666.666666667</v>
      </c>
      <c r="X80" s="188">
        <f>H80-4</f>
        <v>56</v>
      </c>
      <c r="Y80" s="170"/>
    </row>
    <row r="81" spans="1:25">
      <c r="A81" s="189"/>
      <c r="B81" s="190"/>
      <c r="C81" s="191"/>
      <c r="D81" s="192"/>
      <c r="E81" s="193"/>
      <c r="F81" s="194"/>
      <c r="G81" s="198">
        <f>SUM(G80:G80)</f>
        <v>1600000</v>
      </c>
      <c r="H81" s="264"/>
      <c r="I81" s="265"/>
      <c r="J81" s="266"/>
      <c r="K81" s="254"/>
      <c r="L81" s="254"/>
      <c r="M81" s="254"/>
      <c r="N81" s="254"/>
      <c r="O81" s="254"/>
      <c r="P81" s="254"/>
      <c r="Q81" s="254"/>
      <c r="R81" s="254"/>
      <c r="S81" s="254"/>
      <c r="T81" s="254"/>
      <c r="U81" s="254"/>
      <c r="V81" s="267"/>
      <c r="W81" s="254"/>
      <c r="X81" s="170"/>
      <c r="Y81" s="170"/>
    </row>
    <row r="82" spans="1:25">
      <c r="A82" s="189"/>
      <c r="B82" s="190"/>
      <c r="C82" s="191"/>
      <c r="D82" s="192"/>
      <c r="E82" s="193"/>
      <c r="F82" s="194"/>
      <c r="G82" s="203">
        <f>SUM(G18+G28+G34+G56+G67+G70+G75+G78+G81+G20)</f>
        <v>274243000</v>
      </c>
      <c r="H82" s="264"/>
      <c r="I82" s="265"/>
      <c r="J82" s="266"/>
      <c r="K82" s="254"/>
      <c r="L82" s="254"/>
      <c r="M82" s="254"/>
      <c r="N82" s="254"/>
      <c r="O82" s="254"/>
      <c r="P82" s="254"/>
      <c r="Q82" s="254"/>
      <c r="R82" s="254"/>
      <c r="S82" s="254"/>
      <c r="T82" s="254"/>
      <c r="U82" s="254"/>
      <c r="V82" s="267"/>
      <c r="W82" s="254"/>
      <c r="X82" s="170"/>
      <c r="Y82" s="170"/>
    </row>
    <row r="83" spans="1:25">
      <c r="A83" s="189">
        <v>40</v>
      </c>
      <c r="B83" s="190" t="s">
        <v>1034</v>
      </c>
      <c r="C83" s="1064" t="s">
        <v>1035</v>
      </c>
      <c r="D83" s="192" t="s">
        <v>983</v>
      </c>
      <c r="E83" s="193">
        <v>1</v>
      </c>
      <c r="F83" s="194">
        <v>150000</v>
      </c>
      <c r="G83" s="272">
        <f>F83*E83</f>
        <v>150000</v>
      </c>
      <c r="H83" s="264">
        <v>60</v>
      </c>
      <c r="I83" s="232">
        <f>SUM(G83/H83)</f>
        <v>2500</v>
      </c>
      <c r="J83" s="232"/>
      <c r="K83" s="232"/>
      <c r="L83" s="232"/>
      <c r="M83" s="232"/>
      <c r="N83" s="232"/>
      <c r="O83" s="232"/>
      <c r="P83" s="232"/>
      <c r="Q83" s="232"/>
      <c r="R83" s="232"/>
      <c r="S83" s="232"/>
      <c r="T83" s="232">
        <f>SUM(I83)</f>
        <v>2500</v>
      </c>
      <c r="U83" s="232">
        <f>SUM(I83)</f>
        <v>2500</v>
      </c>
      <c r="V83" s="232">
        <f>SUM(I83)</f>
        <v>2500</v>
      </c>
      <c r="W83" s="273">
        <f>SUM(T83:V83)</f>
        <v>7500</v>
      </c>
      <c r="X83" s="188">
        <f>H83-3</f>
        <v>57</v>
      </c>
      <c r="Y83" s="170"/>
    </row>
    <row r="84" spans="1:25">
      <c r="A84" s="189"/>
      <c r="B84" s="190"/>
      <c r="C84" s="191"/>
      <c r="D84" s="192"/>
      <c r="E84" s="193"/>
      <c r="F84" s="194"/>
      <c r="G84" s="198">
        <f>SUM(G83:G83)</f>
        <v>150000</v>
      </c>
      <c r="H84" s="264"/>
      <c r="I84" s="232"/>
      <c r="J84" s="232"/>
      <c r="K84" s="232"/>
      <c r="L84" s="232"/>
      <c r="M84" s="232"/>
      <c r="N84" s="232"/>
      <c r="O84" s="232"/>
      <c r="P84" s="232"/>
      <c r="Q84" s="232"/>
      <c r="R84" s="232"/>
      <c r="S84" s="232"/>
      <c r="T84" s="232"/>
      <c r="U84" s="232"/>
      <c r="V84" s="232"/>
      <c r="W84" s="273"/>
      <c r="X84" s="170"/>
      <c r="Y84" s="170"/>
    </row>
    <row r="85" spans="1:25">
      <c r="A85" s="189"/>
      <c r="B85" s="190"/>
      <c r="C85" s="191"/>
      <c r="D85" s="192"/>
      <c r="E85" s="193"/>
      <c r="F85" s="194"/>
      <c r="G85" s="203">
        <f>SUM(G18+G28+G34+G56+G67+G70+G75+G78+G81+G20+G84)</f>
        <v>274393000</v>
      </c>
      <c r="H85" s="264"/>
      <c r="I85" s="274"/>
      <c r="J85" s="268"/>
      <c r="K85" s="262"/>
      <c r="L85" s="262"/>
      <c r="M85" s="262"/>
      <c r="N85" s="262"/>
      <c r="O85" s="262"/>
      <c r="P85" s="262"/>
      <c r="Q85" s="262"/>
      <c r="R85" s="262"/>
      <c r="S85" s="262"/>
      <c r="T85" s="262"/>
      <c r="U85" s="262"/>
      <c r="V85" s="269"/>
      <c r="W85" s="262"/>
      <c r="X85" s="170"/>
      <c r="Y85" s="170"/>
    </row>
    <row r="86" spans="1:25">
      <c r="A86" s="189"/>
      <c r="B86" s="190"/>
      <c r="C86" s="191"/>
      <c r="D86" s="192"/>
      <c r="E86" s="193"/>
      <c r="F86" s="194"/>
      <c r="G86" s="203"/>
      <c r="H86" s="264"/>
      <c r="I86" s="274"/>
      <c r="J86" s="268"/>
      <c r="K86" s="262"/>
      <c r="L86" s="262"/>
      <c r="M86" s="262"/>
      <c r="N86" s="262"/>
      <c r="O86" s="262"/>
      <c r="P86" s="262"/>
      <c r="Q86" s="262"/>
      <c r="R86" s="262"/>
      <c r="S86" s="262"/>
      <c r="T86" s="262"/>
      <c r="U86" s="262"/>
      <c r="V86" s="269"/>
      <c r="W86" s="262"/>
      <c r="X86" s="170"/>
      <c r="Y86" s="170"/>
    </row>
    <row r="87" spans="1:25">
      <c r="A87" s="189"/>
      <c r="B87" s="190"/>
      <c r="C87" s="191"/>
      <c r="D87" s="192"/>
      <c r="E87" s="193"/>
      <c r="F87" s="194"/>
      <c r="G87" s="203"/>
      <c r="H87" s="264"/>
      <c r="I87" s="274"/>
      <c r="J87" s="268"/>
      <c r="K87" s="262"/>
      <c r="L87" s="262"/>
      <c r="M87" s="262"/>
      <c r="N87" s="262"/>
      <c r="O87" s="262"/>
      <c r="P87" s="262"/>
      <c r="Q87" s="262"/>
      <c r="R87" s="262"/>
      <c r="S87" s="262"/>
      <c r="T87" s="262"/>
      <c r="U87" s="262"/>
      <c r="V87" s="269"/>
      <c r="W87" s="262"/>
      <c r="X87" s="170"/>
      <c r="Y87" s="170"/>
    </row>
    <row r="88" spans="1:25">
      <c r="A88" s="190"/>
      <c r="B88" s="190"/>
      <c r="C88" s="191"/>
      <c r="D88" s="192"/>
      <c r="E88" s="193"/>
      <c r="F88" s="194"/>
      <c r="G88" s="210"/>
      <c r="H88" s="264"/>
      <c r="I88" s="265"/>
      <c r="J88" s="170"/>
      <c r="K88" s="170"/>
      <c r="L88" s="170"/>
      <c r="M88" s="170"/>
      <c r="N88" s="170"/>
      <c r="O88" s="180"/>
      <c r="P88" s="170"/>
      <c r="Q88" s="170"/>
      <c r="R88" s="198">
        <v>684166</v>
      </c>
      <c r="S88" s="275">
        <v>710833</v>
      </c>
      <c r="T88" s="275">
        <v>713333</v>
      </c>
      <c r="U88" s="275">
        <v>713333</v>
      </c>
      <c r="V88" s="275">
        <v>713333</v>
      </c>
      <c r="W88" s="276"/>
      <c r="X88" s="170"/>
      <c r="Y88" s="170"/>
    </row>
    <row r="89" spans="1:25">
      <c r="A89" s="170"/>
      <c r="B89" s="170"/>
      <c r="C89" s="277"/>
      <c r="D89" s="170"/>
      <c r="E89" s="170"/>
      <c r="F89" s="170"/>
      <c r="G89" s="278">
        <f>SUM(G18+G28+G34+G56+G67+G70+G75+G78+G81+G20+G22+G84)</f>
        <v>304393000</v>
      </c>
      <c r="H89" s="170"/>
      <c r="I89" s="170"/>
      <c r="J89" s="279">
        <f t="shared" ref="J89:M89" si="86">SUM(J28+J35+J56)</f>
        <v>26060479.1666667</v>
      </c>
      <c r="K89" s="279">
        <f t="shared" si="86"/>
        <v>767395.833333333</v>
      </c>
      <c r="L89" s="279">
        <f t="shared" si="86"/>
        <v>767395.833333333</v>
      </c>
      <c r="M89" s="279">
        <f t="shared" si="86"/>
        <v>767395.833333333</v>
      </c>
      <c r="N89" s="279">
        <f>SUM(N28+N58+N56+N35)</f>
        <v>767395.833333333</v>
      </c>
      <c r="O89" s="279">
        <f>SUM(O28+O35+O67)</f>
        <v>1067595.16666667</v>
      </c>
      <c r="P89" s="279">
        <f>SUM(P28+P35+P70)</f>
        <v>1071478.16666667</v>
      </c>
      <c r="Q89" s="279">
        <f>SUM(Q28+Q35+Q75)</f>
        <v>1156145.16666667</v>
      </c>
      <c r="R89" s="279">
        <f>SUM(R18+R28+R35+R88)</f>
        <v>3730311.83333333</v>
      </c>
      <c r="S89" s="279">
        <f>SUM(S18+S28+S35+S88+S20)</f>
        <v>4465478.83333333</v>
      </c>
      <c r="T89" s="278">
        <f t="shared" ref="T89:V89" si="87">SUM(T18+T20+T22+T28+T35+T88)</f>
        <v>4967978.83333333</v>
      </c>
      <c r="U89" s="278">
        <f t="shared" si="87"/>
        <v>4967978.83333333</v>
      </c>
      <c r="V89" s="280">
        <f t="shared" si="87"/>
        <v>4967978.83333333</v>
      </c>
      <c r="W89" s="276"/>
      <c r="X89" s="278"/>
      <c r="Y89" s="170"/>
    </row>
    <row r="90" spans="1:25">
      <c r="A90" s="170"/>
      <c r="B90" s="170"/>
      <c r="C90" s="277"/>
      <c r="D90" s="170"/>
      <c r="E90" s="170"/>
      <c r="F90" s="170"/>
      <c r="G90" s="170"/>
      <c r="H90" s="281" t="s">
        <v>1036</v>
      </c>
      <c r="I90" s="282"/>
      <c r="J90" s="170"/>
      <c r="K90" s="283">
        <f>K89</f>
        <v>767395.833333333</v>
      </c>
      <c r="L90" s="283">
        <f>SUM(K89:L89)</f>
        <v>1534791.66666667</v>
      </c>
      <c r="M90" s="283">
        <f>SUM(K89:M89)</f>
        <v>2302187.5</v>
      </c>
      <c r="N90" s="283">
        <f>SUM(K89:N89)</f>
        <v>3069583.33333333</v>
      </c>
      <c r="O90" s="283">
        <f>SUM(K89:O89)</f>
        <v>4137178.5</v>
      </c>
      <c r="P90" s="283">
        <f>SUM(K89:P89)</f>
        <v>5208656.66666667</v>
      </c>
      <c r="Q90" s="283">
        <f>SUM(K89:Q89)</f>
        <v>6364801.83333333</v>
      </c>
      <c r="R90" s="283">
        <f>SUM(K89:R89)</f>
        <v>10095113.6666667</v>
      </c>
      <c r="S90" s="283">
        <f>SUM(K89:S89)</f>
        <v>14560592.5</v>
      </c>
      <c r="T90" s="283">
        <f>SUM(K89:T89)</f>
        <v>19528571.3333333</v>
      </c>
      <c r="U90" s="283">
        <f>SUM(K89:U89)</f>
        <v>24496550.1666667</v>
      </c>
      <c r="V90" s="283">
        <f>SUM(L89:V89)</f>
        <v>28697133.1666667</v>
      </c>
      <c r="W90" s="284"/>
      <c r="X90" s="170"/>
      <c r="Y90" s="170"/>
    </row>
    <row r="91" spans="1:25">
      <c r="D91" s="170"/>
      <c r="E91" s="170"/>
      <c r="F91" s="170"/>
      <c r="G91" s="170"/>
      <c r="H91" s="281" t="s">
        <v>51</v>
      </c>
      <c r="I91" s="282"/>
      <c r="J91" s="188">
        <f>SUM(G57-J89)</f>
        <v>41824520.8333333</v>
      </c>
      <c r="K91" s="278">
        <f>SUM(G57-K90)</f>
        <v>67117604.1666667</v>
      </c>
      <c r="L91" s="278">
        <f>SUM(G57-L90)</f>
        <v>66350208.3333333</v>
      </c>
      <c r="M91" s="278">
        <f>SUM(G57-M90)</f>
        <v>65582812.5</v>
      </c>
      <c r="N91" s="278">
        <f>SUM(G57-N90)</f>
        <v>64815416.6666667</v>
      </c>
      <c r="O91" s="278">
        <f>SUM(G68-O90)</f>
        <v>66232821.5</v>
      </c>
      <c r="P91" s="278">
        <f>SUM(G71-P90)</f>
        <v>65394343.3333333</v>
      </c>
      <c r="Q91" s="278">
        <f>SUM(G76-Q90)</f>
        <v>69318198.1666667</v>
      </c>
      <c r="R91" s="278">
        <f>SUM(G79-R90)</f>
        <v>220037886.333333</v>
      </c>
      <c r="S91" s="278">
        <f>SUM(G82-S90)</f>
        <v>259682407.5</v>
      </c>
      <c r="T91" s="278">
        <f>SUM(G89-T90)</f>
        <v>284864428.666667</v>
      </c>
      <c r="U91" s="278">
        <f>SUM(G89-U90)</f>
        <v>279896449.833333</v>
      </c>
      <c r="V91" s="278">
        <f>SUM(G89-V90)</f>
        <v>275695866.833333</v>
      </c>
      <c r="W91" s="276"/>
      <c r="X91" s="170"/>
      <c r="Y91" s="170"/>
    </row>
    <row r="92" spans="1:25">
      <c r="H92" s="285"/>
      <c r="I92" s="285"/>
      <c r="J92" s="286"/>
      <c r="K92" s="287"/>
      <c r="L92" s="287"/>
      <c r="M92" s="287"/>
      <c r="N92" s="287"/>
      <c r="O92" s="287"/>
      <c r="P92" s="287"/>
      <c r="Q92" s="287"/>
      <c r="R92" s="287"/>
      <c r="S92" s="287"/>
      <c r="T92" s="288"/>
      <c r="U92" s="288"/>
      <c r="V92" s="288"/>
      <c r="W92" s="289"/>
    </row>
    <row r="93" spans="1:25">
      <c r="H93" s="285"/>
      <c r="I93" s="285"/>
      <c r="J93" s="286"/>
      <c r="K93" s="287"/>
      <c r="L93" s="287"/>
      <c r="M93" s="287"/>
      <c r="N93" s="287"/>
      <c r="O93" s="287"/>
      <c r="P93" s="287"/>
      <c r="Q93" s="287"/>
      <c r="R93" s="287"/>
      <c r="S93" s="287"/>
      <c r="T93" s="288"/>
      <c r="U93" s="288"/>
      <c r="V93" s="288"/>
      <c r="W93" s="289"/>
    </row>
    <row r="94" spans="1:25">
      <c r="H94" s="285"/>
      <c r="I94" s="285"/>
      <c r="J94" s="286"/>
      <c r="K94" s="287"/>
      <c r="L94" s="287"/>
      <c r="M94" s="287"/>
      <c r="N94" s="287"/>
      <c r="O94" s="287"/>
      <c r="P94" s="287"/>
      <c r="Q94" s="287"/>
      <c r="R94" s="287"/>
      <c r="S94" s="287"/>
      <c r="T94" s="288"/>
      <c r="U94" s="288"/>
      <c r="V94" s="288"/>
      <c r="W94" s="289"/>
    </row>
    <row r="95" spans="1:25">
      <c r="H95" s="285"/>
      <c r="I95" s="285"/>
      <c r="J95" s="286"/>
      <c r="K95" s="287"/>
      <c r="L95" s="287"/>
      <c r="M95" s="287"/>
      <c r="N95" s="287"/>
      <c r="O95" s="287"/>
      <c r="P95" s="287"/>
      <c r="Q95" s="287"/>
      <c r="R95" s="287"/>
      <c r="S95" s="287"/>
      <c r="T95" s="288"/>
      <c r="U95" s="288"/>
      <c r="V95" s="288"/>
      <c r="W95" s="289"/>
    </row>
    <row r="96" spans="1:25">
      <c r="H96" s="285"/>
      <c r="I96" s="285"/>
      <c r="J96" s="286"/>
      <c r="K96" s="287"/>
      <c r="L96" s="287"/>
      <c r="M96" s="287"/>
      <c r="N96" s="287"/>
      <c r="O96" s="287"/>
      <c r="P96" s="287"/>
      <c r="Q96" s="287"/>
      <c r="R96" s="287"/>
      <c r="S96" s="287"/>
      <c r="T96" s="288"/>
      <c r="U96" s="288"/>
      <c r="V96" s="288"/>
      <c r="W96" s="289"/>
    </row>
    <row r="97" spans="1:25">
      <c r="H97" s="285"/>
      <c r="I97" s="285"/>
      <c r="J97" s="286"/>
      <c r="K97" s="287"/>
      <c r="L97" s="287"/>
      <c r="M97" s="287"/>
      <c r="N97" s="287"/>
      <c r="O97" s="287"/>
      <c r="P97" s="287"/>
      <c r="Q97" s="287"/>
      <c r="R97" s="287"/>
      <c r="S97" s="287"/>
      <c r="T97" s="288"/>
      <c r="U97" s="288"/>
      <c r="V97" s="288"/>
      <c r="W97" s="289"/>
    </row>
    <row r="98" spans="1:25">
      <c r="H98" s="285"/>
      <c r="I98" s="285"/>
      <c r="J98" s="286"/>
      <c r="K98" s="287"/>
      <c r="L98" s="287"/>
      <c r="M98" s="287"/>
      <c r="N98" s="287"/>
      <c r="O98" s="287"/>
      <c r="P98" s="287"/>
      <c r="Q98" s="287"/>
      <c r="R98" s="287"/>
      <c r="S98" s="287"/>
      <c r="T98" s="288"/>
      <c r="U98" s="288"/>
      <c r="V98" s="288"/>
      <c r="W98" s="289"/>
    </row>
    <row r="99" spans="1:25">
      <c r="H99" s="285"/>
      <c r="I99" s="285"/>
      <c r="J99" s="286"/>
      <c r="K99" s="287"/>
      <c r="L99" s="287"/>
      <c r="M99" s="287"/>
      <c r="N99" s="287"/>
      <c r="O99" s="287"/>
      <c r="P99" s="287"/>
      <c r="Q99" s="287"/>
      <c r="R99" s="287"/>
      <c r="S99" s="287"/>
      <c r="T99" s="288"/>
      <c r="U99" s="288"/>
      <c r="V99" s="288"/>
      <c r="W99" s="289"/>
    </row>
    <row r="100" customFormat="1" ht="21" spans="1:25">
      <c r="A100" s="290" t="s">
        <v>0</v>
      </c>
      <c r="B100" s="290"/>
      <c r="C100" s="290"/>
      <c r="D100" s="290"/>
      <c r="E100" s="290"/>
      <c r="F100" s="290"/>
      <c r="G100" s="290"/>
      <c r="H100" s="290"/>
      <c r="I100" s="290"/>
      <c r="J100" s="290"/>
      <c r="K100" s="290"/>
      <c r="L100" s="290"/>
      <c r="M100" s="290"/>
      <c r="N100" s="290"/>
      <c r="O100" s="290"/>
      <c r="P100" s="290"/>
      <c r="Q100" s="290"/>
      <c r="R100" s="290"/>
      <c r="S100" s="290"/>
      <c r="T100" s="290"/>
      <c r="U100" s="290"/>
      <c r="V100" s="290"/>
    </row>
    <row r="101" customFormat="1" ht="21" spans="1:25">
      <c r="A101" s="291" t="s">
        <v>1037</v>
      </c>
      <c r="B101" s="291"/>
      <c r="C101" s="291"/>
      <c r="D101" s="291"/>
      <c r="E101" s="291"/>
      <c r="F101" s="291"/>
      <c r="G101" s="291"/>
      <c r="H101" s="291"/>
      <c r="I101" s="291"/>
      <c r="J101" s="291"/>
      <c r="K101" s="291"/>
      <c r="L101" s="291"/>
      <c r="M101" s="291"/>
      <c r="N101" s="291"/>
      <c r="O101" s="291"/>
      <c r="P101" s="291"/>
      <c r="Q101" s="291"/>
      <c r="R101" s="291"/>
      <c r="S101" s="291"/>
      <c r="T101" s="291"/>
      <c r="U101" s="291"/>
      <c r="V101" s="291"/>
    </row>
    <row r="102" spans="1:25">
      <c r="T102" s="289"/>
      <c r="U102" s="289"/>
      <c r="V102" s="289"/>
      <c r="W102" s="289"/>
    </row>
    <row r="103" spans="1:25">
      <c r="A103" s="152" t="s">
        <v>803</v>
      </c>
      <c r="B103" s="292" t="s">
        <v>965</v>
      </c>
      <c r="C103" s="151" t="s">
        <v>966</v>
      </c>
      <c r="D103" s="151" t="s">
        <v>967</v>
      </c>
      <c r="E103" s="151" t="s">
        <v>968</v>
      </c>
      <c r="F103" s="151" t="s">
        <v>969</v>
      </c>
      <c r="G103" s="151" t="s">
        <v>970</v>
      </c>
      <c r="H103" s="151" t="s">
        <v>971</v>
      </c>
      <c r="I103" s="151" t="s">
        <v>972</v>
      </c>
      <c r="J103" s="152" t="s">
        <v>973</v>
      </c>
      <c r="K103" s="153" t="s">
        <v>1038</v>
      </c>
      <c r="L103" s="154"/>
      <c r="M103" s="154"/>
      <c r="N103" s="154"/>
      <c r="O103" s="154"/>
      <c r="P103" s="154"/>
      <c r="Q103" s="154"/>
      <c r="R103" s="154"/>
      <c r="S103" s="154"/>
      <c r="T103" s="154"/>
      <c r="U103" s="154"/>
      <c r="V103" s="154"/>
      <c r="W103" s="153" t="s">
        <v>975</v>
      </c>
      <c r="X103" s="155" t="s">
        <v>976</v>
      </c>
    </row>
    <row r="104" ht="39" customHeight="1" spans="1:25">
      <c r="A104" s="152"/>
      <c r="B104" s="293"/>
      <c r="C104" s="157"/>
      <c r="D104" s="157"/>
      <c r="E104" s="157"/>
      <c r="F104" s="157"/>
      <c r="G104" s="157"/>
      <c r="H104" s="157"/>
      <c r="I104" s="157"/>
      <c r="J104" s="152"/>
      <c r="K104" s="158" t="s">
        <v>181</v>
      </c>
      <c r="L104" s="158" t="s">
        <v>182</v>
      </c>
      <c r="M104" s="152" t="s">
        <v>767</v>
      </c>
      <c r="N104" s="159" t="s">
        <v>777</v>
      </c>
      <c r="O104" s="152" t="s">
        <v>185</v>
      </c>
      <c r="P104" s="152" t="s">
        <v>778</v>
      </c>
      <c r="Q104" s="153" t="s">
        <v>783</v>
      </c>
      <c r="R104" s="152" t="s">
        <v>784</v>
      </c>
      <c r="S104" s="153" t="s">
        <v>785</v>
      </c>
      <c r="T104" s="152" t="s">
        <v>791</v>
      </c>
      <c r="U104" s="153" t="s">
        <v>792</v>
      </c>
      <c r="V104" s="153" t="s">
        <v>978</v>
      </c>
      <c r="W104" s="153"/>
      <c r="X104" s="160"/>
    </row>
    <row r="105" ht="23" customHeight="1" spans="1:25">
      <c r="A105" s="168"/>
      <c r="B105" s="162" t="s">
        <v>979</v>
      </c>
      <c r="C105" s="163"/>
      <c r="D105" s="164"/>
      <c r="E105" s="165"/>
      <c r="F105" s="165"/>
      <c r="G105" s="165"/>
      <c r="H105" s="165">
        <v>240</v>
      </c>
      <c r="I105" s="165"/>
      <c r="J105" s="166"/>
      <c r="K105" s="167"/>
      <c r="L105" s="167"/>
      <c r="M105" s="167"/>
      <c r="N105" s="167"/>
      <c r="O105" s="167"/>
      <c r="P105" s="167"/>
      <c r="Q105" s="167"/>
      <c r="R105" s="168"/>
      <c r="S105" s="167"/>
      <c r="T105" s="168"/>
      <c r="U105" s="167"/>
      <c r="V105" s="168"/>
      <c r="W105" s="169"/>
      <c r="X105" s="170"/>
    </row>
    <row r="106" ht="23" customHeight="1" spans="1:25">
      <c r="A106" s="187"/>
      <c r="B106" s="172"/>
      <c r="C106" s="173"/>
      <c r="D106" s="174"/>
      <c r="E106" s="175"/>
      <c r="F106" s="176"/>
      <c r="G106" s="176"/>
      <c r="H106" s="177"/>
      <c r="I106" s="178"/>
      <c r="J106" s="179"/>
      <c r="K106" s="179"/>
      <c r="L106" s="179"/>
      <c r="M106" s="179"/>
      <c r="N106" s="179"/>
      <c r="O106" s="179"/>
      <c r="P106" s="179"/>
      <c r="Q106" s="179"/>
      <c r="R106" s="180"/>
      <c r="S106" s="179"/>
      <c r="T106" s="180"/>
      <c r="U106" s="179"/>
      <c r="V106" s="180"/>
      <c r="W106" s="181"/>
      <c r="X106" s="170"/>
      <c r="Y106" s="294"/>
    </row>
    <row r="107" ht="23" customHeight="1" spans="1:25">
      <c r="A107" s="187"/>
      <c r="B107" s="229"/>
      <c r="C107" s="202"/>
      <c r="D107" s="186"/>
      <c r="E107" s="187"/>
      <c r="F107" s="180"/>
      <c r="G107" s="180"/>
      <c r="H107" s="199"/>
      <c r="I107" s="200"/>
      <c r="J107" s="180"/>
      <c r="K107" s="180"/>
      <c r="L107" s="180"/>
      <c r="M107" s="180"/>
      <c r="N107" s="180"/>
      <c r="O107" s="180"/>
      <c r="P107" s="180"/>
      <c r="Q107" s="180"/>
      <c r="R107" s="180"/>
      <c r="S107" s="180"/>
      <c r="T107" s="180"/>
      <c r="U107" s="180"/>
      <c r="V107" s="180"/>
      <c r="W107" s="181"/>
      <c r="X107" s="170"/>
      <c r="Y107" s="289"/>
    </row>
    <row r="108" ht="23" customHeight="1" spans="1:25">
      <c r="A108" s="187"/>
      <c r="B108" s="182" t="s">
        <v>980</v>
      </c>
      <c r="C108" s="173"/>
      <c r="D108" s="174"/>
      <c r="E108" s="175"/>
      <c r="F108" s="176"/>
      <c r="G108" s="176"/>
      <c r="H108" s="177">
        <v>60</v>
      </c>
      <c r="I108" s="178"/>
      <c r="J108" s="179"/>
      <c r="K108" s="179"/>
      <c r="L108" s="179"/>
      <c r="M108" s="179"/>
      <c r="N108" s="179"/>
      <c r="O108" s="179"/>
      <c r="P108" s="179"/>
      <c r="Q108" s="179"/>
      <c r="R108" s="180"/>
      <c r="S108" s="179"/>
      <c r="T108" s="180"/>
      <c r="U108" s="179"/>
      <c r="V108" s="180"/>
      <c r="W108" s="181"/>
      <c r="X108" s="170"/>
      <c r="Y108" s="289"/>
    </row>
    <row r="109" ht="23" customHeight="1" spans="1:25">
      <c r="A109" s="184">
        <v>1</v>
      </c>
      <c r="B109" s="183" t="s">
        <v>981</v>
      </c>
      <c r="C109" s="1063" t="s">
        <v>982</v>
      </c>
      <c r="D109" s="186" t="s">
        <v>983</v>
      </c>
      <c r="E109" s="187">
        <v>1</v>
      </c>
      <c r="F109" s="180">
        <v>12500000</v>
      </c>
      <c r="G109" s="176">
        <f t="shared" ref="G109:G111" si="88">SUM(E109*F109)</f>
        <v>12500000</v>
      </c>
      <c r="H109" s="177">
        <v>60</v>
      </c>
      <c r="I109" s="178">
        <f t="shared" ref="I109:I111" si="89">SUM(G109/H109)</f>
        <v>208333.333333333</v>
      </c>
      <c r="J109" s="179"/>
      <c r="K109" s="179">
        <v>208333.333333333</v>
      </c>
      <c r="L109" s="179">
        <f t="shared" ref="L109:L111" si="90">SUM(I109)</f>
        <v>208333.333333333</v>
      </c>
      <c r="M109" s="179">
        <f t="shared" ref="M109:M111" si="91">SUM(I109)</f>
        <v>208333.333333333</v>
      </c>
      <c r="N109" s="179">
        <f t="shared" ref="N109:N111" si="92">SUM(I109)</f>
        <v>208333.333333333</v>
      </c>
      <c r="O109" s="179">
        <f t="shared" ref="O109:O111" si="93">SUM(I109)</f>
        <v>208333.333333333</v>
      </c>
      <c r="P109" s="179" cm="1">
        <f t="array" ref="P109:P111">I109:I111</f>
        <v>208333.333333333</v>
      </c>
      <c r="Q109" s="179">
        <f t="shared" ref="Q109:Q111" si="94">SUM(I109)</f>
        <v>208333.333333333</v>
      </c>
      <c r="R109" s="179">
        <f>SUM(I109)</f>
        <v>208333.333333333</v>
      </c>
      <c r="S109" s="179"/>
      <c r="T109" s="180"/>
      <c r="U109" s="179"/>
      <c r="V109" s="180"/>
      <c r="W109" s="181">
        <f t="shared" ref="W109:W113" si="95">SUM(K109+L109+M109+N109+O109+P109+Q109+R109+S109+T109+U109+V109+W15)</f>
        <v>2708333.33333333</v>
      </c>
      <c r="X109" s="188">
        <f t="shared" ref="X109:X111" si="96">H109-5-12</f>
        <v>43</v>
      </c>
      <c r="Y109" s="289"/>
    </row>
    <row r="110" ht="23" customHeight="1" spans="1:25">
      <c r="A110" s="184">
        <v>2</v>
      </c>
      <c r="B110" s="189" t="s">
        <v>797</v>
      </c>
      <c r="C110" s="1064" t="s">
        <v>982</v>
      </c>
      <c r="D110" s="192" t="s">
        <v>983</v>
      </c>
      <c r="E110" s="193">
        <v>1</v>
      </c>
      <c r="F110" s="194">
        <v>35000000</v>
      </c>
      <c r="G110" s="176">
        <f t="shared" si="88"/>
        <v>35000000</v>
      </c>
      <c r="H110" s="177">
        <v>60</v>
      </c>
      <c r="I110" s="178">
        <f t="shared" si="89"/>
        <v>583333.333333333</v>
      </c>
      <c r="J110" s="179"/>
      <c r="K110" s="179">
        <v>583333.333333333</v>
      </c>
      <c r="L110" s="179">
        <f t="shared" si="90"/>
        <v>583333.333333333</v>
      </c>
      <c r="M110" s="179">
        <f t="shared" si="91"/>
        <v>583333.333333333</v>
      </c>
      <c r="N110" s="179">
        <f t="shared" si="92"/>
        <v>583333.333333333</v>
      </c>
      <c r="O110" s="179">
        <f t="shared" si="93"/>
        <v>583333.333333333</v>
      </c>
      <c r="P110" s="179">
        <v>583333.333333333</v>
      </c>
      <c r="Q110" s="179">
        <f t="shared" si="94"/>
        <v>583333.333333333</v>
      </c>
      <c r="R110" s="179">
        <f>SUM(I110)</f>
        <v>583333.333333333</v>
      </c>
      <c r="S110" s="179"/>
      <c r="T110" s="180"/>
      <c r="U110" s="179"/>
      <c r="V110" s="180"/>
      <c r="W110" s="181">
        <f>SUM(K109+L109+M109+N109+O109+P109+Q109+R109+S109+T109+U109+V109+W16)</f>
        <v>4583333.33333333</v>
      </c>
      <c r="X110" s="188">
        <f t="shared" si="96"/>
        <v>43</v>
      </c>
      <c r="Y110" s="289"/>
    </row>
    <row r="111" ht="23" customHeight="1" spans="1:25">
      <c r="A111" s="184">
        <v>3</v>
      </c>
      <c r="B111" s="189" t="s">
        <v>984</v>
      </c>
      <c r="C111" s="1064" t="s">
        <v>982</v>
      </c>
      <c r="D111" s="192" t="s">
        <v>983</v>
      </c>
      <c r="E111" s="193">
        <v>7</v>
      </c>
      <c r="F111" s="194">
        <v>15000000</v>
      </c>
      <c r="G111" s="195">
        <f t="shared" si="88"/>
        <v>105000000</v>
      </c>
      <c r="H111" s="196">
        <v>60</v>
      </c>
      <c r="I111" s="178">
        <f t="shared" si="89"/>
        <v>1750000</v>
      </c>
      <c r="J111" s="197"/>
      <c r="K111" s="197">
        <v>1750000</v>
      </c>
      <c r="L111" s="179">
        <f t="shared" si="90"/>
        <v>1750000</v>
      </c>
      <c r="M111" s="179">
        <f t="shared" si="91"/>
        <v>1750000</v>
      </c>
      <c r="N111" s="179">
        <f t="shared" si="92"/>
        <v>1750000</v>
      </c>
      <c r="O111" s="179">
        <f t="shared" si="93"/>
        <v>1750000</v>
      </c>
      <c r="P111" s="197">
        <v>1750000</v>
      </c>
      <c r="Q111" s="179">
        <f t="shared" si="94"/>
        <v>1750000</v>
      </c>
      <c r="R111" s="179">
        <f>SUM(I111)</f>
        <v>1750000</v>
      </c>
      <c r="S111" s="179"/>
      <c r="T111" s="180"/>
      <c r="U111" s="179"/>
      <c r="V111" s="180"/>
      <c r="W111" s="181">
        <f t="shared" si="95"/>
        <v>22750000</v>
      </c>
      <c r="X111" s="188">
        <f t="shared" si="96"/>
        <v>43</v>
      </c>
      <c r="Y111" s="289"/>
    </row>
    <row r="112" ht="23" customHeight="1" spans="1:25">
      <c r="A112" s="184"/>
      <c r="B112" s="183"/>
      <c r="C112" s="185"/>
      <c r="D112" s="186"/>
      <c r="E112" s="187"/>
      <c r="F112" s="180"/>
      <c r="G112" s="198">
        <f t="shared" ref="G112:R112" si="97">SUM(G109:G111)</f>
        <v>152500000</v>
      </c>
      <c r="H112" s="199"/>
      <c r="I112" s="178"/>
      <c r="J112" s="180"/>
      <c r="K112" s="198">
        <f t="shared" si="97"/>
        <v>2541666.66666667</v>
      </c>
      <c r="L112" s="198">
        <f t="shared" si="97"/>
        <v>2541666.66666667</v>
      </c>
      <c r="M112" s="198">
        <f t="shared" si="97"/>
        <v>2541666.66666667</v>
      </c>
      <c r="N112" s="198">
        <f t="shared" si="97"/>
        <v>2541666.66666667</v>
      </c>
      <c r="O112" s="198">
        <f t="shared" si="97"/>
        <v>2541666.66666667</v>
      </c>
      <c r="P112" s="198">
        <f t="shared" si="97"/>
        <v>2541666.66666667</v>
      </c>
      <c r="Q112" s="198">
        <f t="shared" si="97"/>
        <v>2541666.66666667</v>
      </c>
      <c r="R112" s="198">
        <f t="shared" si="97"/>
        <v>2541666.66666667</v>
      </c>
      <c r="S112" s="198"/>
      <c r="T112" s="198"/>
      <c r="U112" s="198"/>
      <c r="V112" s="198"/>
      <c r="W112" s="181"/>
      <c r="X112" s="170"/>
      <c r="Y112" s="289"/>
    </row>
    <row r="113" ht="23" customHeight="1" spans="1:26">
      <c r="A113" s="184">
        <v>4</v>
      </c>
      <c r="B113" s="183" t="s">
        <v>985</v>
      </c>
      <c r="C113" s="1063" t="s">
        <v>986</v>
      </c>
      <c r="D113" s="186" t="s">
        <v>983</v>
      </c>
      <c r="E113" s="187">
        <v>1</v>
      </c>
      <c r="F113" s="180">
        <v>42510000</v>
      </c>
      <c r="G113" s="180">
        <f>E113*F113</f>
        <v>42510000</v>
      </c>
      <c r="H113" s="199">
        <v>60</v>
      </c>
      <c r="I113" s="178">
        <f>SUM(G113/H113)</f>
        <v>708500</v>
      </c>
      <c r="J113" s="180"/>
      <c r="K113" s="180">
        <v>708500</v>
      </c>
      <c r="L113" s="180">
        <f>SUM(I113)</f>
        <v>708500</v>
      </c>
      <c r="M113" s="180">
        <f>SUM(I113)</f>
        <v>708500</v>
      </c>
      <c r="N113" s="180">
        <f>SUM(I113)</f>
        <v>708500</v>
      </c>
      <c r="O113" s="179">
        <f>SUM(I113)</f>
        <v>708500</v>
      </c>
      <c r="P113" s="180">
        <f>I113</f>
        <v>708500</v>
      </c>
      <c r="Q113" s="180">
        <f>SUM(I113)</f>
        <v>708500</v>
      </c>
      <c r="R113" s="180">
        <f>SUM(I113)</f>
        <v>708500</v>
      </c>
      <c r="S113" s="180"/>
      <c r="T113" s="180"/>
      <c r="U113" s="180"/>
      <c r="V113" s="180"/>
      <c r="W113" s="181">
        <f t="shared" si="95"/>
        <v>8502000</v>
      </c>
      <c r="X113" s="188">
        <f>SUM(H113-4-12)</f>
        <v>44</v>
      </c>
      <c r="Y113" s="289"/>
    </row>
    <row r="114" ht="23" customHeight="1" spans="1:26">
      <c r="A114" s="184"/>
      <c r="B114" s="183"/>
      <c r="C114" s="185"/>
      <c r="D114" s="186"/>
      <c r="E114" s="187"/>
      <c r="F114" s="180"/>
      <c r="G114" s="198">
        <f t="shared" ref="G114:R114" si="98">SUM(G113:G113)</f>
        <v>42510000</v>
      </c>
      <c r="H114" s="199"/>
      <c r="I114" s="200"/>
      <c r="J114" s="180"/>
      <c r="K114" s="198">
        <f t="shared" si="98"/>
        <v>708500</v>
      </c>
      <c r="L114" s="198">
        <f t="shared" si="98"/>
        <v>708500</v>
      </c>
      <c r="M114" s="198">
        <f t="shared" si="98"/>
        <v>708500</v>
      </c>
      <c r="N114" s="198">
        <f t="shared" si="98"/>
        <v>708500</v>
      </c>
      <c r="O114" s="198">
        <f t="shared" si="98"/>
        <v>708500</v>
      </c>
      <c r="P114" s="198">
        <f t="shared" si="98"/>
        <v>708500</v>
      </c>
      <c r="Q114" s="198">
        <f t="shared" si="98"/>
        <v>708500</v>
      </c>
      <c r="R114" s="198">
        <f t="shared" si="98"/>
        <v>708500</v>
      </c>
      <c r="S114" s="198"/>
      <c r="T114" s="198"/>
      <c r="U114" s="198"/>
      <c r="V114" s="198"/>
      <c r="W114" s="181"/>
      <c r="X114" s="170"/>
      <c r="Y114" s="289"/>
    </row>
    <row r="115" ht="23" customHeight="1" spans="1:26">
      <c r="A115" s="184">
        <v>5</v>
      </c>
      <c r="B115" s="183" t="s">
        <v>987</v>
      </c>
      <c r="C115" s="1063" t="s">
        <v>988</v>
      </c>
      <c r="D115" s="186"/>
      <c r="E115" s="187">
        <v>2</v>
      </c>
      <c r="F115" s="180">
        <v>15000000</v>
      </c>
      <c r="G115" s="180">
        <f>SUM(E115*F115)</f>
        <v>30000000</v>
      </c>
      <c r="H115" s="199">
        <v>60</v>
      </c>
      <c r="I115" s="200">
        <f>SUM(G115/H115)</f>
        <v>500000</v>
      </c>
      <c r="J115" s="180"/>
      <c r="K115" s="180">
        <v>500000</v>
      </c>
      <c r="L115" s="180">
        <f>SUM(I115)</f>
        <v>500000</v>
      </c>
      <c r="M115" s="180">
        <f>SUM(I115)</f>
        <v>500000</v>
      </c>
      <c r="N115" s="180">
        <f>SUM(I115)</f>
        <v>500000</v>
      </c>
      <c r="O115" s="179">
        <f>SUM(I115)</f>
        <v>500000</v>
      </c>
      <c r="P115" s="180">
        <f>I115</f>
        <v>500000</v>
      </c>
      <c r="Q115" s="180">
        <f>SUM(I115)</f>
        <v>500000</v>
      </c>
      <c r="R115" s="180">
        <f>SUM(I115)</f>
        <v>500000</v>
      </c>
      <c r="S115" s="180"/>
      <c r="T115" s="180"/>
      <c r="U115" s="180"/>
      <c r="V115" s="180"/>
      <c r="W115" s="181">
        <f>SUM(K115+L115+M115+N115+O115+P115+Q115+R115+S115+T115+U115+V115+W21)</f>
        <v>5500000</v>
      </c>
      <c r="X115" s="188">
        <f>SUM(H115-3-12)</f>
        <v>45</v>
      </c>
      <c r="Y115" s="289"/>
    </row>
    <row r="116" ht="23" customHeight="1" spans="1:26">
      <c r="A116" s="184"/>
      <c r="B116" s="183"/>
      <c r="C116" s="185"/>
      <c r="D116" s="186"/>
      <c r="E116" s="187"/>
      <c r="F116" s="180"/>
      <c r="G116" s="198">
        <f>SUM(G115)</f>
        <v>30000000</v>
      </c>
      <c r="H116" s="199"/>
      <c r="I116" s="200"/>
      <c r="J116" s="180"/>
      <c r="K116" s="198">
        <f t="shared" ref="K116:R116" si="99">SUM(K115:K115)</f>
        <v>500000</v>
      </c>
      <c r="L116" s="198">
        <f t="shared" si="99"/>
        <v>500000</v>
      </c>
      <c r="M116" s="198">
        <f t="shared" si="99"/>
        <v>500000</v>
      </c>
      <c r="N116" s="198">
        <f t="shared" si="99"/>
        <v>500000</v>
      </c>
      <c r="O116" s="198">
        <f t="shared" si="99"/>
        <v>500000</v>
      </c>
      <c r="P116" s="198">
        <f t="shared" si="99"/>
        <v>500000</v>
      </c>
      <c r="Q116" s="198">
        <f t="shared" si="99"/>
        <v>500000</v>
      </c>
      <c r="R116" s="198">
        <f t="shared" si="99"/>
        <v>500000</v>
      </c>
      <c r="S116" s="180"/>
      <c r="T116" s="198"/>
      <c r="U116" s="198"/>
      <c r="V116" s="198"/>
      <c r="W116" s="181"/>
      <c r="X116" s="170"/>
    </row>
    <row r="117" ht="23" customHeight="1" spans="1:26">
      <c r="A117" s="187"/>
      <c r="B117" s="295"/>
      <c r="C117" s="202"/>
      <c r="D117" s="186"/>
      <c r="E117" s="187"/>
      <c r="F117" s="180"/>
      <c r="G117" s="203">
        <f>SUM(G112+G114+G116+G122+G128+G150+G156+G159+G164+G167+G170)</f>
        <v>303743000</v>
      </c>
      <c r="H117" s="199"/>
      <c r="I117" s="200"/>
      <c r="J117" s="180"/>
      <c r="K117" s="180"/>
      <c r="L117" s="180"/>
      <c r="M117" s="180"/>
      <c r="N117" s="180"/>
      <c r="O117" s="180"/>
      <c r="P117" s="180"/>
      <c r="Q117" s="180"/>
      <c r="R117" s="180"/>
      <c r="S117" s="180"/>
      <c r="T117" s="180"/>
      <c r="U117" s="180"/>
      <c r="V117" s="180"/>
      <c r="W117" s="181"/>
      <c r="X117" s="170"/>
    </row>
    <row r="118" ht="23" customHeight="1" spans="1:26">
      <c r="A118" s="187"/>
      <c r="B118" s="295" t="s">
        <v>989</v>
      </c>
      <c r="C118" s="202"/>
      <c r="D118" s="186"/>
      <c r="E118" s="187"/>
      <c r="F118" s="180"/>
      <c r="G118" s="180"/>
      <c r="H118" s="199">
        <v>48</v>
      </c>
      <c r="I118" s="200"/>
      <c r="J118" s="180"/>
      <c r="K118" s="180"/>
      <c r="L118" s="180"/>
      <c r="M118" s="180"/>
      <c r="N118" s="180"/>
      <c r="O118" s="180"/>
      <c r="P118" s="180"/>
      <c r="Q118" s="180"/>
      <c r="R118" s="180"/>
      <c r="S118" s="180"/>
      <c r="T118" s="180"/>
      <c r="U118" s="180"/>
      <c r="V118" s="180"/>
      <c r="W118" s="181"/>
      <c r="X118" s="170"/>
    </row>
    <row r="119" ht="23" customHeight="1" spans="1:26">
      <c r="A119" s="187">
        <v>1</v>
      </c>
      <c r="B119" s="296" t="s">
        <v>990</v>
      </c>
      <c r="C119" s="206">
        <v>45113</v>
      </c>
      <c r="D119" s="186" t="s">
        <v>983</v>
      </c>
      <c r="E119" s="207">
        <v>1</v>
      </c>
      <c r="F119" s="208">
        <v>2400000</v>
      </c>
      <c r="G119" s="208">
        <f>E119*F119</f>
        <v>2400000</v>
      </c>
      <c r="H119" s="209">
        <v>48</v>
      </c>
      <c r="I119" s="178">
        <f t="shared" ref="I119:I121" si="100">G119/H119</f>
        <v>50000</v>
      </c>
      <c r="J119" s="210">
        <f t="shared" ref="J119:J127" si="101">19*I119</f>
        <v>950000</v>
      </c>
      <c r="K119" s="210">
        <f t="shared" ref="K119:K128" si="102">I119</f>
        <v>50000</v>
      </c>
      <c r="L119" s="210">
        <f>SUM(I119)</f>
        <v>50000</v>
      </c>
      <c r="M119" s="180">
        <f>SUM(I119)</f>
        <v>50000</v>
      </c>
      <c r="N119" s="210">
        <f>SUM(I119)</f>
        <v>50000</v>
      </c>
      <c r="O119" s="210">
        <f>SUM(I119)</f>
        <v>50000</v>
      </c>
      <c r="P119" s="180">
        <v>50000</v>
      </c>
      <c r="Q119" s="180">
        <f>SUM(I119)</f>
        <v>50000</v>
      </c>
      <c r="R119" s="297" t="s">
        <v>1039</v>
      </c>
      <c r="S119" s="298"/>
      <c r="T119" s="297"/>
      <c r="U119" s="297"/>
      <c r="V119" s="297"/>
      <c r="W119" s="212">
        <f>SUM(K119+L119+M119+N119+O119+P119+Q119+W25)</f>
        <v>950000</v>
      </c>
      <c r="X119" s="188">
        <f>H119-31-12</f>
        <v>5</v>
      </c>
      <c r="Y119" s="289"/>
      <c r="Z119" s="289"/>
    </row>
    <row r="120" ht="23" customHeight="1" spans="1:26">
      <c r="A120" s="187">
        <v>2</v>
      </c>
      <c r="B120" s="299" t="s">
        <v>991</v>
      </c>
      <c r="C120" s="1065" t="s">
        <v>992</v>
      </c>
      <c r="D120" s="186" t="s">
        <v>983</v>
      </c>
      <c r="E120" s="214">
        <v>1</v>
      </c>
      <c r="F120" s="210">
        <v>7300000</v>
      </c>
      <c r="G120" s="210">
        <f>F120*E120</f>
        <v>7300000</v>
      </c>
      <c r="H120" s="215">
        <v>48</v>
      </c>
      <c r="I120" s="178">
        <f t="shared" si="100"/>
        <v>152083.333333333</v>
      </c>
      <c r="J120" s="210">
        <f>12*I120</f>
        <v>1825000</v>
      </c>
      <c r="K120" s="210"/>
      <c r="L120" s="210"/>
      <c r="M120" s="180"/>
      <c r="N120" s="210"/>
      <c r="O120" s="210"/>
      <c r="P120" s="180"/>
      <c r="Q120" s="297" t="s">
        <v>1040</v>
      </c>
      <c r="R120" s="297"/>
      <c r="S120" s="298"/>
      <c r="T120" s="297"/>
      <c r="U120" s="297"/>
      <c r="V120" s="297"/>
      <c r="W120" s="212"/>
      <c r="X120" s="188">
        <f>H120-24-12</f>
        <v>12</v>
      </c>
      <c r="Y120" s="300">
        <f>SUM(K120:Q120)</f>
        <v>0</v>
      </c>
      <c r="Z120" s="289"/>
    </row>
    <row r="121" ht="23" customHeight="1" spans="1:26">
      <c r="A121" s="187">
        <v>3</v>
      </c>
      <c r="B121" s="299" t="s">
        <v>991</v>
      </c>
      <c r="C121" s="1065" t="s">
        <v>681</v>
      </c>
      <c r="D121" s="186" t="s">
        <v>983</v>
      </c>
      <c r="E121" s="214">
        <v>1</v>
      </c>
      <c r="F121" s="210">
        <v>6603000</v>
      </c>
      <c r="G121" s="210">
        <f>F121*E121</f>
        <v>6603000</v>
      </c>
      <c r="H121" s="215">
        <v>48</v>
      </c>
      <c r="I121" s="178">
        <f t="shared" si="100"/>
        <v>137562.5</v>
      </c>
      <c r="J121" s="210">
        <f>9*I121</f>
        <v>1238062.5</v>
      </c>
      <c r="K121" s="210"/>
      <c r="L121" s="210"/>
      <c r="M121" s="180"/>
      <c r="N121" s="210"/>
      <c r="O121" s="210"/>
      <c r="P121" s="180"/>
      <c r="Q121" s="297" t="s">
        <v>1040</v>
      </c>
      <c r="R121" s="297"/>
      <c r="S121" s="298"/>
      <c r="T121" s="297"/>
      <c r="U121" s="297"/>
      <c r="V121" s="297"/>
      <c r="W121" s="212">
        <f>SUM(K121+L121+M121+N121+O121+P121+W27)</f>
        <v>1650750</v>
      </c>
      <c r="X121" s="188">
        <f>SUM(H121-21-12)</f>
        <v>15</v>
      </c>
      <c r="Y121" s="300">
        <f>SUM(K121:P121)</f>
        <v>0</v>
      </c>
      <c r="Z121" s="300">
        <f>W121-J121</f>
        <v>412687.5</v>
      </c>
    </row>
    <row r="122" ht="23" customHeight="1" spans="1:26">
      <c r="A122" s="187"/>
      <c r="B122" s="172"/>
      <c r="C122" s="173"/>
      <c r="D122" s="174"/>
      <c r="E122" s="175"/>
      <c r="F122" s="176"/>
      <c r="G122" s="216">
        <f t="shared" ref="G122:Q122" si="103">SUM(G119:G121)</f>
        <v>16303000</v>
      </c>
      <c r="H122" s="177"/>
      <c r="I122" s="178"/>
      <c r="J122" s="198">
        <f t="shared" si="103"/>
        <v>4013062.5</v>
      </c>
      <c r="K122" s="198">
        <f t="shared" si="103"/>
        <v>50000</v>
      </c>
      <c r="L122" s="198">
        <f t="shared" si="103"/>
        <v>50000</v>
      </c>
      <c r="M122" s="198">
        <f t="shared" si="103"/>
        <v>50000</v>
      </c>
      <c r="N122" s="198">
        <f t="shared" si="103"/>
        <v>50000</v>
      </c>
      <c r="O122" s="198">
        <f t="shared" si="103"/>
        <v>50000</v>
      </c>
      <c r="P122" s="198">
        <f t="shared" si="103"/>
        <v>50000</v>
      </c>
      <c r="Q122" s="198">
        <f t="shared" si="103"/>
        <v>50000</v>
      </c>
      <c r="R122" s="198"/>
      <c r="S122" s="198"/>
      <c r="T122" s="198"/>
      <c r="U122" s="198"/>
      <c r="V122" s="198"/>
      <c r="W122" s="198"/>
      <c r="X122" s="170"/>
      <c r="Y122" s="289"/>
      <c r="Z122" s="289"/>
    </row>
    <row r="123" ht="23" customHeight="1" spans="1:26">
      <c r="A123" s="187"/>
      <c r="B123" s="172"/>
      <c r="C123" s="173"/>
      <c r="D123" s="174"/>
      <c r="E123" s="175"/>
      <c r="F123" s="176"/>
      <c r="G123" s="176"/>
      <c r="H123" s="177"/>
      <c r="I123" s="178"/>
      <c r="J123" s="210">
        <f t="shared" si="101"/>
        <v>0</v>
      </c>
      <c r="K123" s="210">
        <f t="shared" si="102"/>
        <v>0</v>
      </c>
      <c r="L123" s="210"/>
      <c r="M123" s="180"/>
      <c r="N123" s="180"/>
      <c r="O123" s="180"/>
      <c r="P123" s="180"/>
      <c r="Q123" s="180"/>
      <c r="R123" s="180"/>
      <c r="S123" s="168"/>
      <c r="T123" s="217"/>
      <c r="U123" s="210"/>
      <c r="V123" s="210"/>
      <c r="W123" s="212"/>
      <c r="X123" s="170"/>
      <c r="Y123" s="289"/>
      <c r="Z123" s="289"/>
    </row>
    <row r="124" ht="23" customHeight="1" spans="1:26">
      <c r="A124" s="187"/>
      <c r="B124" s="182" t="s">
        <v>993</v>
      </c>
      <c r="C124" s="173"/>
      <c r="D124" s="174"/>
      <c r="E124" s="175"/>
      <c r="F124" s="176"/>
      <c r="G124" s="176"/>
      <c r="H124" s="177"/>
      <c r="I124" s="178"/>
      <c r="J124" s="210">
        <f t="shared" si="101"/>
        <v>0</v>
      </c>
      <c r="K124" s="210">
        <f t="shared" si="102"/>
        <v>0</v>
      </c>
      <c r="L124" s="210"/>
      <c r="M124" s="180"/>
      <c r="N124" s="180"/>
      <c r="O124" s="180"/>
      <c r="P124" s="180"/>
      <c r="Q124" s="180"/>
      <c r="R124" s="180"/>
      <c r="S124" s="168"/>
      <c r="T124" s="217"/>
      <c r="U124" s="210"/>
      <c r="V124" s="210"/>
      <c r="W124" s="212"/>
      <c r="X124" s="170"/>
      <c r="Y124" s="289"/>
      <c r="Z124" s="289"/>
    </row>
    <row r="125" ht="23" customHeight="1" spans="1:26">
      <c r="A125" s="187"/>
      <c r="B125" s="172"/>
      <c r="C125" s="173"/>
      <c r="D125" s="174"/>
      <c r="E125" s="175"/>
      <c r="F125" s="176"/>
      <c r="G125" s="176"/>
      <c r="H125" s="177"/>
      <c r="I125" s="178"/>
      <c r="J125" s="210">
        <f t="shared" si="101"/>
        <v>0</v>
      </c>
      <c r="K125" s="210">
        <f t="shared" si="102"/>
        <v>0</v>
      </c>
      <c r="L125" s="210"/>
      <c r="M125" s="180"/>
      <c r="N125" s="180"/>
      <c r="O125" s="180"/>
      <c r="P125" s="180"/>
      <c r="Q125" s="180"/>
      <c r="R125" s="180"/>
      <c r="S125" s="168"/>
      <c r="T125" s="217"/>
      <c r="U125" s="210"/>
      <c r="V125" s="210"/>
      <c r="W125" s="212"/>
      <c r="X125" s="170"/>
      <c r="Y125" s="289"/>
      <c r="Z125" s="289"/>
    </row>
    <row r="126" ht="23" customHeight="1" spans="1:26">
      <c r="A126" s="187"/>
      <c r="B126" s="172"/>
      <c r="C126" s="173"/>
      <c r="D126" s="174"/>
      <c r="E126" s="175"/>
      <c r="F126" s="176"/>
      <c r="G126" s="176"/>
      <c r="H126" s="177"/>
      <c r="I126" s="178"/>
      <c r="J126" s="210">
        <f t="shared" si="101"/>
        <v>0</v>
      </c>
      <c r="K126" s="210">
        <f t="shared" si="102"/>
        <v>0</v>
      </c>
      <c r="L126" s="210"/>
      <c r="M126" s="180"/>
      <c r="N126" s="180"/>
      <c r="O126" s="180"/>
      <c r="P126" s="180"/>
      <c r="Q126" s="180"/>
      <c r="R126" s="180"/>
      <c r="S126" s="168"/>
      <c r="T126" s="217"/>
      <c r="U126" s="210"/>
      <c r="V126" s="210"/>
      <c r="W126" s="212"/>
      <c r="X126" s="170"/>
      <c r="Y126" s="289"/>
      <c r="Z126" s="289"/>
    </row>
    <row r="127" ht="23" customHeight="1" spans="1:26">
      <c r="A127" s="187"/>
      <c r="B127" s="182" t="s">
        <v>994</v>
      </c>
      <c r="C127" s="173"/>
      <c r="D127" s="174"/>
      <c r="E127" s="175"/>
      <c r="F127" s="176"/>
      <c r="G127" s="176"/>
      <c r="H127" s="177">
        <v>120</v>
      </c>
      <c r="I127" s="178"/>
      <c r="J127" s="210">
        <f t="shared" si="101"/>
        <v>0</v>
      </c>
      <c r="K127" s="210">
        <f t="shared" si="102"/>
        <v>0</v>
      </c>
      <c r="L127" s="210"/>
      <c r="M127" s="180"/>
      <c r="N127" s="180"/>
      <c r="O127" s="180"/>
      <c r="P127" s="180"/>
      <c r="Q127" s="180"/>
      <c r="R127" s="180"/>
      <c r="S127" s="168"/>
      <c r="T127" s="217"/>
      <c r="U127" s="210"/>
      <c r="V127" s="210"/>
      <c r="W127" s="212"/>
      <c r="X127" s="170"/>
    </row>
    <row r="128" ht="23" customHeight="1" spans="1:26">
      <c r="A128" s="301">
        <v>1</v>
      </c>
      <c r="B128" s="302" t="s">
        <v>995</v>
      </c>
      <c r="C128" s="220">
        <v>45051</v>
      </c>
      <c r="D128" s="221" t="s">
        <v>983</v>
      </c>
      <c r="E128" s="222">
        <v>1</v>
      </c>
      <c r="F128" s="210">
        <v>19780000</v>
      </c>
      <c r="G128" s="223">
        <f>F128*E128</f>
        <v>19780000</v>
      </c>
      <c r="H128" s="209">
        <v>120</v>
      </c>
      <c r="I128" s="224">
        <f t="shared" ref="I128:I149" si="104">G128/H128</f>
        <v>164833.333333333</v>
      </c>
      <c r="J128" s="210">
        <f>20*I128</f>
        <v>3296666.66666667</v>
      </c>
      <c r="K128" s="210">
        <f t="shared" si="102"/>
        <v>164833.333333333</v>
      </c>
      <c r="L128" s="210">
        <f>SUM(I128)</f>
        <v>164833.333333333</v>
      </c>
      <c r="M128" s="180">
        <f>SUM(I128)</f>
        <v>164833.333333333</v>
      </c>
      <c r="N128" s="210">
        <f>SUM(I128)</f>
        <v>164833.333333333</v>
      </c>
      <c r="O128" s="180">
        <f>SUM(I128)</f>
        <v>164833.333333333</v>
      </c>
      <c r="P128" s="180">
        <f>I128</f>
        <v>164833.333333333</v>
      </c>
      <c r="Q128" s="180">
        <f>SUM(I128)</f>
        <v>164833.333333333</v>
      </c>
      <c r="R128" s="180">
        <f>SUM(I128)</f>
        <v>164833.333333333</v>
      </c>
      <c r="S128" s="303" t="s">
        <v>1040</v>
      </c>
      <c r="T128" s="304"/>
      <c r="U128" s="304"/>
      <c r="V128" s="305"/>
      <c r="W128" s="212">
        <f>SUM(K128+L128+M128+N128+O128+P128+Q128+R128+W34)</f>
        <v>3296666.66666666</v>
      </c>
      <c r="X128" s="226"/>
    </row>
    <row r="129" ht="23" customHeight="1" spans="1:26">
      <c r="A129" s="187"/>
      <c r="B129" s="172"/>
      <c r="C129" s="173"/>
      <c r="D129" s="174"/>
      <c r="E129" s="175"/>
      <c r="F129" s="176"/>
      <c r="G129" s="176"/>
      <c r="H129" s="177"/>
      <c r="I129" s="178"/>
      <c r="J129" s="198">
        <f>SUM(J128)</f>
        <v>3296666.66666667</v>
      </c>
      <c r="K129" s="198">
        <f>SUM(K128)</f>
        <v>164833.333333333</v>
      </c>
      <c r="L129" s="198">
        <f t="shared" ref="L129:R129" si="105">SUM(L128:L128)</f>
        <v>164833.333333333</v>
      </c>
      <c r="M129" s="198">
        <f t="shared" si="105"/>
        <v>164833.333333333</v>
      </c>
      <c r="N129" s="198">
        <f t="shared" si="105"/>
        <v>164833.333333333</v>
      </c>
      <c r="O129" s="198">
        <f t="shared" si="105"/>
        <v>164833.333333333</v>
      </c>
      <c r="P129" s="198">
        <f t="shared" si="105"/>
        <v>164833.333333333</v>
      </c>
      <c r="Q129" s="198">
        <f t="shared" si="105"/>
        <v>164833.333333333</v>
      </c>
      <c r="R129" s="198">
        <f t="shared" si="105"/>
        <v>164833.333333333</v>
      </c>
      <c r="S129" s="198"/>
      <c r="T129" s="198"/>
      <c r="U129" s="198"/>
      <c r="V129" s="198"/>
      <c r="W129" s="212"/>
      <c r="X129" s="170"/>
    </row>
    <row r="130" ht="23" customHeight="1" spans="1:26">
      <c r="A130" s="187"/>
      <c r="B130" s="182" t="s">
        <v>996</v>
      </c>
      <c r="C130" s="173"/>
      <c r="D130" s="174"/>
      <c r="E130" s="175"/>
      <c r="F130" s="176"/>
      <c r="G130" s="176"/>
      <c r="H130" s="177">
        <v>60</v>
      </c>
      <c r="I130" s="178"/>
      <c r="J130" s="210">
        <f>19*I130</f>
        <v>0</v>
      </c>
      <c r="K130" s="210">
        <f>I130</f>
        <v>0</v>
      </c>
      <c r="L130" s="210"/>
      <c r="M130" s="180"/>
      <c r="N130" s="180"/>
      <c r="O130" s="180"/>
      <c r="P130" s="180"/>
      <c r="Q130" s="180"/>
      <c r="R130" s="180"/>
      <c r="S130" s="168"/>
      <c r="T130" s="217"/>
      <c r="U130" s="210"/>
      <c r="V130" s="210"/>
      <c r="W130" s="212"/>
      <c r="X130" s="170"/>
    </row>
    <row r="131" ht="23" customHeight="1" spans="1:26">
      <c r="A131" s="187">
        <v>1</v>
      </c>
      <c r="B131" s="229" t="s">
        <v>997</v>
      </c>
      <c r="C131" s="202">
        <v>41579</v>
      </c>
      <c r="D131" s="186" t="s">
        <v>983</v>
      </c>
      <c r="E131" s="187">
        <v>2</v>
      </c>
      <c r="F131" s="180">
        <v>1563500</v>
      </c>
      <c r="G131" s="180">
        <f t="shared" ref="G131:G138" si="106">+E131*F131</f>
        <v>3127000</v>
      </c>
      <c r="H131" s="199">
        <v>60</v>
      </c>
      <c r="I131" s="178">
        <f t="shared" si="104"/>
        <v>52116.6666666667</v>
      </c>
      <c r="J131" s="210">
        <f t="shared" ref="J131:J138" si="107">G131</f>
        <v>3127000</v>
      </c>
      <c r="K131" s="210"/>
      <c r="L131" s="210"/>
      <c r="M131" s="180"/>
      <c r="N131" s="180"/>
      <c r="O131" s="180"/>
      <c r="P131" s="180"/>
      <c r="Q131" s="180"/>
      <c r="R131" s="180"/>
      <c r="S131" s="211"/>
      <c r="T131" s="217"/>
      <c r="U131" s="210"/>
      <c r="V131" s="210"/>
      <c r="W131" s="212"/>
      <c r="X131" s="170"/>
    </row>
    <row r="132" ht="23" customHeight="1" spans="1:26">
      <c r="A132" s="187">
        <v>2</v>
      </c>
      <c r="B132" s="229" t="s">
        <v>998</v>
      </c>
      <c r="C132" s="202">
        <v>41583</v>
      </c>
      <c r="D132" s="186" t="s">
        <v>983</v>
      </c>
      <c r="E132" s="187">
        <v>1</v>
      </c>
      <c r="F132" s="180">
        <v>500000</v>
      </c>
      <c r="G132" s="180">
        <f t="shared" si="106"/>
        <v>500000</v>
      </c>
      <c r="H132" s="199">
        <v>60</v>
      </c>
      <c r="I132" s="178">
        <f t="shared" si="104"/>
        <v>8333.33333333333</v>
      </c>
      <c r="J132" s="210">
        <f t="shared" si="107"/>
        <v>500000</v>
      </c>
      <c r="K132" s="210"/>
      <c r="L132" s="210"/>
      <c r="M132" s="180"/>
      <c r="N132" s="180"/>
      <c r="O132" s="180"/>
      <c r="P132" s="180"/>
      <c r="Q132" s="180"/>
      <c r="R132" s="180"/>
      <c r="S132" s="211"/>
      <c r="T132" s="217"/>
      <c r="U132" s="210"/>
      <c r="V132" s="210"/>
      <c r="W132" s="212"/>
      <c r="X132" s="170"/>
    </row>
    <row r="133" ht="23" customHeight="1" spans="1:26">
      <c r="A133" s="187">
        <v>3</v>
      </c>
      <c r="B133" s="229" t="s">
        <v>999</v>
      </c>
      <c r="C133" s="202">
        <v>42955</v>
      </c>
      <c r="D133" s="186" t="s">
        <v>983</v>
      </c>
      <c r="E133" s="187">
        <v>1</v>
      </c>
      <c r="F133" s="180">
        <v>950000</v>
      </c>
      <c r="G133" s="180">
        <f t="shared" si="106"/>
        <v>950000</v>
      </c>
      <c r="H133" s="199">
        <v>60</v>
      </c>
      <c r="I133" s="178">
        <f t="shared" si="104"/>
        <v>15833.3333333333</v>
      </c>
      <c r="J133" s="210">
        <f t="shared" si="107"/>
        <v>950000</v>
      </c>
      <c r="K133" s="210"/>
      <c r="L133" s="210"/>
      <c r="M133" s="180"/>
      <c r="N133" s="180"/>
      <c r="O133" s="180"/>
      <c r="P133" s="180"/>
      <c r="Q133" s="180"/>
      <c r="R133" s="180"/>
      <c r="S133" s="211"/>
      <c r="T133" s="217"/>
      <c r="U133" s="210"/>
      <c r="V133" s="210"/>
      <c r="W133" s="212"/>
      <c r="X133" s="170"/>
    </row>
    <row r="134" ht="23" customHeight="1" spans="1:26">
      <c r="A134" s="187">
        <v>4</v>
      </c>
      <c r="B134" s="229" t="s">
        <v>1000</v>
      </c>
      <c r="C134" s="202">
        <v>42988</v>
      </c>
      <c r="D134" s="186" t="s">
        <v>983</v>
      </c>
      <c r="E134" s="187">
        <v>1</v>
      </c>
      <c r="F134" s="180">
        <v>250000</v>
      </c>
      <c r="G134" s="180">
        <f t="shared" si="106"/>
        <v>250000</v>
      </c>
      <c r="H134" s="199">
        <v>60</v>
      </c>
      <c r="I134" s="178">
        <f t="shared" si="104"/>
        <v>4166.66666666667</v>
      </c>
      <c r="J134" s="210">
        <f t="shared" si="107"/>
        <v>250000</v>
      </c>
      <c r="K134" s="210"/>
      <c r="L134" s="210"/>
      <c r="M134" s="180"/>
      <c r="N134" s="180"/>
      <c r="O134" s="180"/>
      <c r="P134" s="180"/>
      <c r="Q134" s="180"/>
      <c r="R134" s="180"/>
      <c r="S134" s="211"/>
      <c r="T134" s="217"/>
      <c r="U134" s="210"/>
      <c r="V134" s="210"/>
      <c r="W134" s="212"/>
      <c r="X134" s="170"/>
    </row>
    <row r="135" ht="23" customHeight="1" spans="1:26">
      <c r="A135" s="187">
        <v>5</v>
      </c>
      <c r="B135" s="229" t="s">
        <v>999</v>
      </c>
      <c r="C135" s="202">
        <v>43348</v>
      </c>
      <c r="D135" s="186" t="s">
        <v>983</v>
      </c>
      <c r="E135" s="187">
        <v>1</v>
      </c>
      <c r="F135" s="180">
        <v>1000000</v>
      </c>
      <c r="G135" s="180">
        <f t="shared" si="106"/>
        <v>1000000</v>
      </c>
      <c r="H135" s="199">
        <v>60</v>
      </c>
      <c r="I135" s="178">
        <f t="shared" si="104"/>
        <v>16666.6666666667</v>
      </c>
      <c r="J135" s="210">
        <f t="shared" si="107"/>
        <v>1000000</v>
      </c>
      <c r="K135" s="210"/>
      <c r="L135" s="210"/>
      <c r="M135" s="180"/>
      <c r="N135" s="180"/>
      <c r="O135" s="180"/>
      <c r="P135" s="180"/>
      <c r="Q135" s="180"/>
      <c r="R135" s="180"/>
      <c r="S135" s="211"/>
      <c r="T135" s="217"/>
      <c r="U135" s="210"/>
      <c r="V135" s="210"/>
      <c r="W135" s="212"/>
      <c r="X135" s="170"/>
    </row>
    <row r="136" ht="23" customHeight="1" spans="1:26">
      <c r="A136" s="187">
        <v>6</v>
      </c>
      <c r="B136" s="229" t="s">
        <v>1001</v>
      </c>
      <c r="C136" s="202">
        <v>43381</v>
      </c>
      <c r="D136" s="186" t="s">
        <v>983</v>
      </c>
      <c r="E136" s="187">
        <v>1</v>
      </c>
      <c r="F136" s="180">
        <v>8000000</v>
      </c>
      <c r="G136" s="180">
        <f t="shared" si="106"/>
        <v>8000000</v>
      </c>
      <c r="H136" s="199">
        <v>60</v>
      </c>
      <c r="I136" s="178">
        <f t="shared" si="104"/>
        <v>133333.333333333</v>
      </c>
      <c r="J136" s="210">
        <f t="shared" si="107"/>
        <v>8000000</v>
      </c>
      <c r="K136" s="210"/>
      <c r="L136" s="210"/>
      <c r="M136" s="180"/>
      <c r="N136" s="180"/>
      <c r="O136" s="180"/>
      <c r="P136" s="180"/>
      <c r="Q136" s="180"/>
      <c r="R136" s="180"/>
      <c r="S136" s="211"/>
      <c r="T136" s="217"/>
      <c r="U136" s="210"/>
      <c r="V136" s="210"/>
      <c r="W136" s="212"/>
      <c r="X136" s="170"/>
    </row>
    <row r="137" ht="23" customHeight="1" spans="1:26">
      <c r="A137" s="187">
        <v>7</v>
      </c>
      <c r="B137" s="229" t="s">
        <v>1002</v>
      </c>
      <c r="C137" s="1066" t="s">
        <v>1003</v>
      </c>
      <c r="D137" s="186" t="s">
        <v>983</v>
      </c>
      <c r="E137" s="187">
        <v>1</v>
      </c>
      <c r="F137" s="180">
        <v>800000</v>
      </c>
      <c r="G137" s="180">
        <f t="shared" si="106"/>
        <v>800000</v>
      </c>
      <c r="H137" s="199">
        <v>60</v>
      </c>
      <c r="I137" s="178">
        <f t="shared" si="104"/>
        <v>13333.3333333333</v>
      </c>
      <c r="J137" s="210">
        <f t="shared" si="107"/>
        <v>800000</v>
      </c>
      <c r="K137" s="210"/>
      <c r="L137" s="210"/>
      <c r="M137" s="180"/>
      <c r="N137" s="180"/>
      <c r="O137" s="180"/>
      <c r="P137" s="180"/>
      <c r="Q137" s="180"/>
      <c r="R137" s="180"/>
      <c r="S137" s="211"/>
      <c r="T137" s="217"/>
      <c r="U137" s="210"/>
      <c r="V137" s="210"/>
      <c r="W137" s="212"/>
      <c r="X137" s="170"/>
    </row>
    <row r="138" ht="23" customHeight="1" spans="1:26">
      <c r="A138" s="187">
        <v>8</v>
      </c>
      <c r="B138" s="229" t="s">
        <v>704</v>
      </c>
      <c r="C138" s="230">
        <v>43657</v>
      </c>
      <c r="D138" s="186" t="s">
        <v>983</v>
      </c>
      <c r="E138" s="187">
        <v>1</v>
      </c>
      <c r="F138" s="180">
        <v>1400000</v>
      </c>
      <c r="G138" s="180">
        <f t="shared" si="106"/>
        <v>1400000</v>
      </c>
      <c r="H138" s="199">
        <v>60</v>
      </c>
      <c r="I138" s="178">
        <f t="shared" si="104"/>
        <v>23333.3333333333</v>
      </c>
      <c r="J138" s="210">
        <f t="shared" si="107"/>
        <v>1400000</v>
      </c>
      <c r="K138" s="210"/>
      <c r="L138" s="210"/>
      <c r="M138" s="180"/>
      <c r="N138" s="180"/>
      <c r="O138" s="180"/>
      <c r="P138" s="180"/>
      <c r="Q138" s="180"/>
      <c r="R138" s="180"/>
      <c r="S138" s="211"/>
      <c r="T138" s="217"/>
      <c r="U138" s="210"/>
      <c r="V138" s="210"/>
      <c r="W138" s="212"/>
      <c r="X138" s="170"/>
    </row>
    <row r="139" ht="23" customHeight="1" spans="1:26">
      <c r="A139" s="187">
        <v>16</v>
      </c>
      <c r="B139" s="299" t="s">
        <v>1004</v>
      </c>
      <c r="C139" s="213">
        <v>45176</v>
      </c>
      <c r="D139" s="186" t="s">
        <v>983</v>
      </c>
      <c r="E139" s="214">
        <v>2</v>
      </c>
      <c r="F139" s="210">
        <v>850000</v>
      </c>
      <c r="G139" s="210">
        <f t="shared" ref="G139:G149" si="108">F139*E139</f>
        <v>1700000</v>
      </c>
      <c r="H139" s="199">
        <v>60</v>
      </c>
      <c r="I139" s="178">
        <f t="shared" si="104"/>
        <v>28333.3333333333</v>
      </c>
      <c r="J139" s="210">
        <f t="shared" ref="J139:J142" si="109">18*I139</f>
        <v>510000</v>
      </c>
      <c r="K139" s="210">
        <f t="shared" ref="K139:K142" si="110">I139</f>
        <v>28333.3333333333</v>
      </c>
      <c r="L139" s="210">
        <f t="shared" ref="L139:L142" si="111">SUM(I139)</f>
        <v>28333.3333333333</v>
      </c>
      <c r="M139" s="180">
        <f t="shared" ref="M139:M142" si="112">SUM(I139)</f>
        <v>28333.3333333333</v>
      </c>
      <c r="N139" s="180">
        <f t="shared" ref="N139:N142" si="113">SUM(I139)</f>
        <v>28333.3333333333</v>
      </c>
      <c r="O139" s="180">
        <f t="shared" ref="O139:O142" si="114">SUM(I139)</f>
        <v>28333.3333333333</v>
      </c>
      <c r="P139" s="180">
        <f t="shared" ref="P139:P142" si="115">SUM(I139)</f>
        <v>28333.3333333333</v>
      </c>
      <c r="Q139" s="297" t="s">
        <v>1040</v>
      </c>
      <c r="R139" s="298"/>
      <c r="S139" s="298"/>
      <c r="T139" s="297"/>
      <c r="U139" s="297"/>
      <c r="V139" s="297"/>
      <c r="W139" s="212">
        <f>SUM(K139+L139+M139+N139+O139+P139+W45)</f>
        <v>510000</v>
      </c>
      <c r="X139" s="188"/>
    </row>
    <row r="140" ht="23" customHeight="1" spans="1:26">
      <c r="A140" s="187">
        <v>17</v>
      </c>
      <c r="B140" s="299" t="s">
        <v>1005</v>
      </c>
      <c r="C140" s="213">
        <v>45176</v>
      </c>
      <c r="D140" s="186" t="s">
        <v>983</v>
      </c>
      <c r="E140" s="214">
        <v>1</v>
      </c>
      <c r="F140" s="210">
        <v>1200000</v>
      </c>
      <c r="G140" s="210">
        <f t="shared" si="108"/>
        <v>1200000</v>
      </c>
      <c r="H140" s="199">
        <v>60</v>
      </c>
      <c r="I140" s="178">
        <f t="shared" si="104"/>
        <v>20000</v>
      </c>
      <c r="J140" s="210">
        <f t="shared" si="109"/>
        <v>360000</v>
      </c>
      <c r="K140" s="210">
        <f t="shared" si="110"/>
        <v>20000</v>
      </c>
      <c r="L140" s="210">
        <f t="shared" si="111"/>
        <v>20000</v>
      </c>
      <c r="M140" s="180">
        <f t="shared" si="112"/>
        <v>20000</v>
      </c>
      <c r="N140" s="180">
        <f t="shared" si="113"/>
        <v>20000</v>
      </c>
      <c r="O140" s="180">
        <f t="shared" si="114"/>
        <v>20000</v>
      </c>
      <c r="P140" s="180">
        <f t="shared" si="115"/>
        <v>20000</v>
      </c>
      <c r="Q140" s="297" t="s">
        <v>1040</v>
      </c>
      <c r="R140" s="297"/>
      <c r="S140" s="298"/>
      <c r="T140" s="297"/>
      <c r="U140" s="297"/>
      <c r="V140" s="297"/>
      <c r="W140" s="212">
        <f>SUM(K140+L140+M140+N140+O140+P140+W46)</f>
        <v>360000</v>
      </c>
      <c r="X140" s="188"/>
    </row>
    <row r="141" ht="23" customHeight="1" spans="1:26">
      <c r="A141" s="187">
        <v>18</v>
      </c>
      <c r="B141" s="299" t="s">
        <v>1005</v>
      </c>
      <c r="C141" s="213">
        <v>45176</v>
      </c>
      <c r="D141" s="186" t="s">
        <v>983</v>
      </c>
      <c r="E141" s="214">
        <v>1</v>
      </c>
      <c r="F141" s="210">
        <v>1100000</v>
      </c>
      <c r="G141" s="210">
        <f t="shared" si="108"/>
        <v>1100000</v>
      </c>
      <c r="H141" s="199">
        <v>60</v>
      </c>
      <c r="I141" s="178">
        <f t="shared" si="104"/>
        <v>18333.3333333333</v>
      </c>
      <c r="J141" s="210">
        <f t="shared" si="109"/>
        <v>330000</v>
      </c>
      <c r="K141" s="210">
        <f t="shared" si="110"/>
        <v>18333.3333333333</v>
      </c>
      <c r="L141" s="210">
        <f t="shared" si="111"/>
        <v>18333.3333333333</v>
      </c>
      <c r="M141" s="180">
        <f t="shared" si="112"/>
        <v>18333.3333333333</v>
      </c>
      <c r="N141" s="180">
        <f t="shared" si="113"/>
        <v>18333.3333333333</v>
      </c>
      <c r="O141" s="180">
        <f t="shared" si="114"/>
        <v>18333.3333333333</v>
      </c>
      <c r="P141" s="180">
        <f t="shared" si="115"/>
        <v>18333.3333333333</v>
      </c>
      <c r="Q141" s="297" t="s">
        <v>1040</v>
      </c>
      <c r="R141" s="297"/>
      <c r="S141" s="298"/>
      <c r="T141" s="297"/>
      <c r="U141" s="297"/>
      <c r="V141" s="297"/>
      <c r="W141" s="212"/>
      <c r="X141" s="188"/>
    </row>
    <row r="142" ht="23" customHeight="1" spans="1:26">
      <c r="A142" s="187">
        <v>19</v>
      </c>
      <c r="B142" s="299" t="s">
        <v>1006</v>
      </c>
      <c r="C142" s="213">
        <v>45176</v>
      </c>
      <c r="D142" s="186" t="s">
        <v>983</v>
      </c>
      <c r="E142" s="214">
        <v>1</v>
      </c>
      <c r="F142" s="210">
        <v>3850000</v>
      </c>
      <c r="G142" s="210">
        <f t="shared" si="108"/>
        <v>3850000</v>
      </c>
      <c r="H142" s="199">
        <v>60</v>
      </c>
      <c r="I142" s="178">
        <f t="shared" si="104"/>
        <v>64166.6666666667</v>
      </c>
      <c r="J142" s="210">
        <f t="shared" si="109"/>
        <v>1155000</v>
      </c>
      <c r="K142" s="210">
        <f t="shared" si="110"/>
        <v>64166.6666666667</v>
      </c>
      <c r="L142" s="210">
        <f t="shared" si="111"/>
        <v>64166.6666666667</v>
      </c>
      <c r="M142" s="180">
        <f t="shared" si="112"/>
        <v>64166.6666666667</v>
      </c>
      <c r="N142" s="180">
        <f t="shared" si="113"/>
        <v>64166.6666666667</v>
      </c>
      <c r="O142" s="180">
        <f t="shared" si="114"/>
        <v>64166.6666666667</v>
      </c>
      <c r="P142" s="180">
        <f t="shared" si="115"/>
        <v>64166.6666666667</v>
      </c>
      <c r="Q142" s="297" t="s">
        <v>1040</v>
      </c>
      <c r="R142" s="297"/>
      <c r="S142" s="298"/>
      <c r="T142" s="297"/>
      <c r="U142" s="297"/>
      <c r="V142" s="297"/>
      <c r="W142" s="212"/>
      <c r="X142" s="188"/>
    </row>
    <row r="143" ht="23" customHeight="1" spans="1:26">
      <c r="A143" s="187">
        <v>21</v>
      </c>
      <c r="B143" s="299" t="s">
        <v>1007</v>
      </c>
      <c r="C143" s="1065" t="s">
        <v>532</v>
      </c>
      <c r="D143" s="186" t="s">
        <v>983</v>
      </c>
      <c r="E143" s="214">
        <v>1</v>
      </c>
      <c r="F143" s="210">
        <v>500000</v>
      </c>
      <c r="G143" s="210">
        <f t="shared" si="108"/>
        <v>500000</v>
      </c>
      <c r="H143" s="199">
        <v>60</v>
      </c>
      <c r="I143" s="178">
        <f t="shared" si="104"/>
        <v>8333.33333333333</v>
      </c>
      <c r="J143" s="210">
        <f>11*I143</f>
        <v>91666.6666666667</v>
      </c>
      <c r="K143" s="210"/>
      <c r="L143" s="210"/>
      <c r="M143" s="180"/>
      <c r="N143" s="180"/>
      <c r="O143" s="180"/>
      <c r="P143" s="180"/>
      <c r="Q143" s="297" t="s">
        <v>1040</v>
      </c>
      <c r="R143" s="297"/>
      <c r="S143" s="298"/>
      <c r="T143" s="297"/>
      <c r="U143" s="297"/>
      <c r="V143" s="297"/>
      <c r="W143" s="212"/>
      <c r="X143" s="188">
        <f t="shared" ref="X143:X149" si="116">H143-30-12</f>
        <v>18</v>
      </c>
      <c r="Y143" s="140">
        <f t="shared" ref="Y143:Y149" si="117">W143-J143</f>
        <v>-91666.6666666667</v>
      </c>
      <c r="Z143" s="140">
        <f>SUM(K143:P143)</f>
        <v>0</v>
      </c>
    </row>
    <row r="144" ht="23" customHeight="1" spans="1:26">
      <c r="A144" s="187">
        <v>23</v>
      </c>
      <c r="B144" s="299" t="s">
        <v>1008</v>
      </c>
      <c r="C144" s="1065" t="s">
        <v>1009</v>
      </c>
      <c r="D144" s="186" t="s">
        <v>983</v>
      </c>
      <c r="E144" s="214">
        <v>1</v>
      </c>
      <c r="F144" s="210">
        <v>450000</v>
      </c>
      <c r="G144" s="210">
        <f t="shared" si="108"/>
        <v>450000</v>
      </c>
      <c r="H144" s="199">
        <v>60</v>
      </c>
      <c r="I144" s="200">
        <f t="shared" si="104"/>
        <v>7500</v>
      </c>
      <c r="J144" s="210">
        <f t="shared" ref="J144:J146" si="118">3*I144</f>
        <v>22500</v>
      </c>
      <c r="K144" s="210"/>
      <c r="L144" s="210"/>
      <c r="M144" s="180"/>
      <c r="N144" s="180"/>
      <c r="O144" s="180"/>
      <c r="P144" s="180"/>
      <c r="Q144" s="297" t="s">
        <v>1040</v>
      </c>
      <c r="R144" s="297"/>
      <c r="S144" s="298"/>
      <c r="T144" s="297"/>
      <c r="U144" s="297"/>
      <c r="V144" s="297"/>
      <c r="W144" s="212"/>
      <c r="X144" s="188">
        <f t="shared" si="116"/>
        <v>18</v>
      </c>
      <c r="Y144" s="140">
        <f t="shared" si="117"/>
        <v>-22500</v>
      </c>
    </row>
    <row r="145" ht="23" customHeight="1" spans="1:25">
      <c r="A145" s="187">
        <v>24</v>
      </c>
      <c r="B145" s="299" t="s">
        <v>1010</v>
      </c>
      <c r="C145" s="1065" t="s">
        <v>1009</v>
      </c>
      <c r="D145" s="186" t="s">
        <v>983</v>
      </c>
      <c r="E145" s="214">
        <v>1</v>
      </c>
      <c r="F145" s="210">
        <v>275000</v>
      </c>
      <c r="G145" s="210">
        <f t="shared" si="108"/>
        <v>275000</v>
      </c>
      <c r="H145" s="199">
        <v>60</v>
      </c>
      <c r="I145" s="200">
        <f t="shared" si="104"/>
        <v>4583.33333333333</v>
      </c>
      <c r="J145" s="210">
        <f t="shared" si="118"/>
        <v>13750</v>
      </c>
      <c r="K145" s="210"/>
      <c r="L145" s="210"/>
      <c r="M145" s="180"/>
      <c r="N145" s="180"/>
      <c r="O145" s="180"/>
      <c r="P145" s="180"/>
      <c r="Q145" s="297" t="s">
        <v>1040</v>
      </c>
      <c r="R145" s="297"/>
      <c r="S145" s="298"/>
      <c r="T145" s="297"/>
      <c r="U145" s="297"/>
      <c r="V145" s="297"/>
      <c r="W145" s="212"/>
      <c r="X145" s="188">
        <f t="shared" si="116"/>
        <v>18</v>
      </c>
      <c r="Y145" s="140">
        <f t="shared" si="117"/>
        <v>-13750</v>
      </c>
    </row>
    <row r="146" ht="23" customHeight="1" spans="1:25">
      <c r="A146" s="187">
        <v>25</v>
      </c>
      <c r="B146" s="299" t="s">
        <v>1011</v>
      </c>
      <c r="C146" s="1065" t="s">
        <v>1009</v>
      </c>
      <c r="D146" s="186" t="s">
        <v>983</v>
      </c>
      <c r="E146" s="214">
        <v>30</v>
      </c>
      <c r="F146" s="210">
        <v>35000</v>
      </c>
      <c r="G146" s="210">
        <f t="shared" si="108"/>
        <v>1050000</v>
      </c>
      <c r="H146" s="199">
        <v>60</v>
      </c>
      <c r="I146" s="200">
        <f t="shared" si="104"/>
        <v>17500</v>
      </c>
      <c r="J146" s="210">
        <f t="shared" si="118"/>
        <v>52500</v>
      </c>
      <c r="K146" s="210"/>
      <c r="L146" s="210"/>
      <c r="M146" s="180"/>
      <c r="N146" s="180"/>
      <c r="O146" s="180"/>
      <c r="P146" s="180"/>
      <c r="Q146" s="297" t="s">
        <v>1040</v>
      </c>
      <c r="R146" s="297"/>
      <c r="S146" s="298"/>
      <c r="T146" s="297"/>
      <c r="U146" s="297"/>
      <c r="V146" s="297"/>
      <c r="W146" s="212"/>
      <c r="X146" s="188">
        <f t="shared" si="116"/>
        <v>18</v>
      </c>
      <c r="Y146" s="140">
        <f t="shared" si="117"/>
        <v>-52500</v>
      </c>
    </row>
    <row r="147" ht="23" customHeight="1" spans="1:25">
      <c r="A147" s="187">
        <v>26</v>
      </c>
      <c r="B147" s="299" t="s">
        <v>1012</v>
      </c>
      <c r="C147" s="1065" t="s">
        <v>1013</v>
      </c>
      <c r="D147" s="186" t="s">
        <v>983</v>
      </c>
      <c r="E147" s="214">
        <v>1</v>
      </c>
      <c r="F147" s="210">
        <v>400000</v>
      </c>
      <c r="G147" s="210">
        <f t="shared" si="108"/>
        <v>400000</v>
      </c>
      <c r="H147" s="199">
        <v>60</v>
      </c>
      <c r="I147" s="232">
        <f t="shared" si="104"/>
        <v>6666.66666666667</v>
      </c>
      <c r="J147" s="210">
        <f t="shared" ref="J147:J149" si="119">2*I147</f>
        <v>13333.3333333333</v>
      </c>
      <c r="K147" s="210"/>
      <c r="L147" s="210"/>
      <c r="M147" s="180"/>
      <c r="N147" s="180"/>
      <c r="O147" s="180"/>
      <c r="P147" s="180"/>
      <c r="Q147" s="297" t="s">
        <v>1040</v>
      </c>
      <c r="R147" s="297"/>
      <c r="S147" s="298"/>
      <c r="T147" s="297"/>
      <c r="U147" s="297"/>
      <c r="V147" s="297"/>
      <c r="W147" s="212"/>
      <c r="X147" s="188">
        <f t="shared" si="116"/>
        <v>18</v>
      </c>
      <c r="Y147" s="300">
        <f t="shared" si="117"/>
        <v>-13333.3333333333</v>
      </c>
    </row>
    <row r="148" ht="23" customHeight="1" spans="1:25">
      <c r="A148" s="187">
        <v>27</v>
      </c>
      <c r="B148" s="299" t="s">
        <v>1014</v>
      </c>
      <c r="C148" s="1065" t="s">
        <v>1015</v>
      </c>
      <c r="D148" s="186" t="s">
        <v>983</v>
      </c>
      <c r="E148" s="214">
        <v>1</v>
      </c>
      <c r="F148" s="210">
        <v>2000000</v>
      </c>
      <c r="G148" s="210">
        <f t="shared" si="108"/>
        <v>2000000</v>
      </c>
      <c r="H148" s="199">
        <v>60</v>
      </c>
      <c r="I148" s="232">
        <f t="shared" si="104"/>
        <v>33333.3333333333</v>
      </c>
      <c r="J148" s="210">
        <f t="shared" si="119"/>
        <v>66666.6666666667</v>
      </c>
      <c r="K148" s="210"/>
      <c r="L148" s="210"/>
      <c r="M148" s="180"/>
      <c r="N148" s="180"/>
      <c r="O148" s="180"/>
      <c r="P148" s="180"/>
      <c r="Q148" s="297" t="s">
        <v>1040</v>
      </c>
      <c r="R148" s="297"/>
      <c r="S148" s="298"/>
      <c r="T148" s="297"/>
      <c r="U148" s="297"/>
      <c r="V148" s="297"/>
      <c r="W148" s="212" t="e">
        <f t="shared" ref="W148:W154" si="120">SUM(K148+L148+M148+N148+O148+P148+Q148+R148+S148+T148+U148+V148+W54)</f>
        <v>#VALUE!</v>
      </c>
      <c r="X148" s="188">
        <f t="shared" si="116"/>
        <v>18</v>
      </c>
      <c r="Y148" s="300" t="e">
        <f t="shared" si="117"/>
        <v>#VALUE!</v>
      </c>
    </row>
    <row r="149" ht="23" customHeight="1" spans="1:25">
      <c r="A149" s="187">
        <v>28</v>
      </c>
      <c r="B149" s="299" t="s">
        <v>1016</v>
      </c>
      <c r="C149" s="1065" t="s">
        <v>1017</v>
      </c>
      <c r="D149" s="186" t="s">
        <v>983</v>
      </c>
      <c r="E149" s="214">
        <v>1</v>
      </c>
      <c r="F149" s="210">
        <v>3250000</v>
      </c>
      <c r="G149" s="210">
        <f t="shared" si="108"/>
        <v>3250000</v>
      </c>
      <c r="H149" s="199">
        <v>60</v>
      </c>
      <c r="I149" s="232">
        <f t="shared" si="104"/>
        <v>54166.6666666667</v>
      </c>
      <c r="J149" s="210">
        <f t="shared" si="119"/>
        <v>108333.333333333</v>
      </c>
      <c r="K149" s="210"/>
      <c r="L149" s="210"/>
      <c r="M149" s="180"/>
      <c r="N149" s="180"/>
      <c r="O149" s="180"/>
      <c r="P149" s="180"/>
      <c r="Q149" s="297" t="s">
        <v>1040</v>
      </c>
      <c r="R149" s="297"/>
      <c r="S149" s="298"/>
      <c r="T149" s="297"/>
      <c r="U149" s="297"/>
      <c r="V149" s="297"/>
      <c r="W149" s="212" t="e">
        <f t="shared" si="120"/>
        <v>#VALUE!</v>
      </c>
      <c r="X149" s="188">
        <f t="shared" si="116"/>
        <v>18</v>
      </c>
      <c r="Y149" s="300" t="e">
        <f t="shared" si="117"/>
        <v>#VALUE!</v>
      </c>
    </row>
    <row r="150" ht="23" customHeight="1" spans="1:25">
      <c r="A150" s="187"/>
      <c r="B150" s="299"/>
      <c r="C150" s="213"/>
      <c r="D150" s="186"/>
      <c r="E150" s="214"/>
      <c r="F150" s="210"/>
      <c r="G150" s="198">
        <f>SUM(G131:G149)</f>
        <v>31802000</v>
      </c>
      <c r="H150" s="199"/>
      <c r="I150" s="232"/>
      <c r="J150" s="234">
        <f>SUM(J131:J138)</f>
        <v>16027000</v>
      </c>
      <c r="K150" s="234"/>
      <c r="L150" s="234"/>
      <c r="M150" s="234"/>
      <c r="N150" s="234"/>
      <c r="O150" s="180">
        <f t="shared" ref="O150:O156" si="121">SUM(I150)</f>
        <v>0</v>
      </c>
      <c r="P150" s="235"/>
      <c r="Q150" s="235"/>
      <c r="R150" s="235"/>
      <c r="S150" s="236"/>
      <c r="T150" s="234"/>
      <c r="U150" s="235"/>
      <c r="V150" s="235"/>
      <c r="W150" s="237"/>
      <c r="X150" s="170"/>
    </row>
    <row r="151" ht="23" customHeight="1" spans="1:25">
      <c r="A151" s="187"/>
      <c r="B151" s="299"/>
      <c r="C151" s="213"/>
      <c r="D151" s="186"/>
      <c r="E151" s="214"/>
      <c r="F151" s="210"/>
      <c r="G151" s="203">
        <f>SUM(G122+G128+G150)</f>
        <v>67885000</v>
      </c>
      <c r="H151" s="199"/>
      <c r="I151" s="199"/>
      <c r="J151" s="199"/>
      <c r="K151" s="199"/>
      <c r="L151" s="199"/>
      <c r="M151" s="199"/>
      <c r="N151" s="199"/>
      <c r="O151" s="180"/>
      <c r="P151" s="199"/>
      <c r="Q151" s="199"/>
      <c r="R151" s="199"/>
      <c r="S151" s="238"/>
      <c r="T151" s="199"/>
      <c r="U151" s="199"/>
      <c r="V151" s="199"/>
      <c r="W151" s="239"/>
      <c r="X151" s="170"/>
    </row>
    <row r="152" ht="23" customHeight="1" spans="1:25">
      <c r="A152" s="185">
        <v>30</v>
      </c>
      <c r="B152" s="183" t="s">
        <v>1018</v>
      </c>
      <c r="C152" s="1063" t="s">
        <v>1019</v>
      </c>
      <c r="D152" s="186" t="s">
        <v>983</v>
      </c>
      <c r="E152" s="187">
        <v>1</v>
      </c>
      <c r="F152" s="241">
        <v>1200000</v>
      </c>
      <c r="G152" s="210">
        <f>F152*E152</f>
        <v>1200000</v>
      </c>
      <c r="H152" s="180">
        <v>60</v>
      </c>
      <c r="I152" s="232">
        <f t="shared" ref="I152:I155" si="122">SUM(G152/H152)</f>
        <v>20000</v>
      </c>
      <c r="J152" s="242"/>
      <c r="K152" s="306">
        <v>20000</v>
      </c>
      <c r="L152" s="188">
        <f t="shared" ref="L152:L155" si="123">SUM(I152)</f>
        <v>20000</v>
      </c>
      <c r="M152" s="188">
        <f t="shared" ref="M152:M156" si="124">SUM(I152)</f>
        <v>20000</v>
      </c>
      <c r="N152" s="188">
        <f t="shared" ref="N152:N155" si="125">SUM(I152)</f>
        <v>20000</v>
      </c>
      <c r="O152" s="180">
        <f t="shared" si="121"/>
        <v>20000</v>
      </c>
      <c r="P152" s="180" cm="1">
        <f t="array" ref="P152:P155">I152:I155</f>
        <v>20000</v>
      </c>
      <c r="Q152" s="180">
        <f t="shared" ref="Q152:Q155" si="126">SUM(I152)</f>
        <v>20000</v>
      </c>
      <c r="R152" s="180">
        <f>SUM(I152)</f>
        <v>20000</v>
      </c>
      <c r="S152" s="211"/>
      <c r="T152" s="243"/>
      <c r="U152" s="243"/>
      <c r="V152" s="244"/>
      <c r="W152" s="245">
        <f t="shared" si="120"/>
        <v>320000</v>
      </c>
      <c r="X152" s="188">
        <f t="shared" ref="X152:X155" si="127">SUM(H152-8-12)</f>
        <v>40</v>
      </c>
    </row>
    <row r="153" ht="23" customHeight="1" spans="1:25">
      <c r="A153" s="185">
        <v>31</v>
      </c>
      <c r="B153" s="183" t="s">
        <v>1020</v>
      </c>
      <c r="C153" s="1063" t="s">
        <v>1019</v>
      </c>
      <c r="D153" s="186" t="s">
        <v>983</v>
      </c>
      <c r="E153" s="187">
        <v>1</v>
      </c>
      <c r="F153" s="241">
        <v>100000</v>
      </c>
      <c r="G153" s="210">
        <f t="shared" ref="G153:G155" si="128">SUM(E153*F153)</f>
        <v>100000</v>
      </c>
      <c r="H153" s="180">
        <v>60</v>
      </c>
      <c r="I153" s="232">
        <f t="shared" si="122"/>
        <v>1666.66666666667</v>
      </c>
      <c r="J153" s="170"/>
      <c r="K153" s="307">
        <v>1666.66666666667</v>
      </c>
      <c r="L153" s="188">
        <f t="shared" si="123"/>
        <v>1666.66666666667</v>
      </c>
      <c r="M153" s="188">
        <f t="shared" si="124"/>
        <v>1666.66666666667</v>
      </c>
      <c r="N153" s="188">
        <f t="shared" si="125"/>
        <v>1666.66666666667</v>
      </c>
      <c r="O153" s="180">
        <f t="shared" si="121"/>
        <v>1666.66666666667</v>
      </c>
      <c r="P153" s="180">
        <v>1666.66666666667</v>
      </c>
      <c r="Q153" s="180">
        <f t="shared" si="126"/>
        <v>1666.66666666667</v>
      </c>
      <c r="R153" s="180">
        <f t="shared" ref="R153:R190" si="129">SUM(I153)</f>
        <v>1666.66666666667</v>
      </c>
      <c r="S153" s="211"/>
      <c r="T153" s="243"/>
      <c r="U153" s="243"/>
      <c r="V153" s="244"/>
      <c r="W153" s="245">
        <f t="shared" si="120"/>
        <v>26666.6666666667</v>
      </c>
      <c r="X153" s="188">
        <f t="shared" si="127"/>
        <v>40</v>
      </c>
    </row>
    <row r="154" ht="23" customHeight="1" spans="1:25">
      <c r="A154" s="185">
        <v>32</v>
      </c>
      <c r="B154" s="183" t="s">
        <v>1021</v>
      </c>
      <c r="C154" s="1063" t="s">
        <v>1019</v>
      </c>
      <c r="D154" s="186" t="s">
        <v>983</v>
      </c>
      <c r="E154" s="187">
        <v>1</v>
      </c>
      <c r="F154" s="241">
        <v>185000</v>
      </c>
      <c r="G154" s="210">
        <f t="shared" si="128"/>
        <v>185000</v>
      </c>
      <c r="H154" s="180">
        <v>60</v>
      </c>
      <c r="I154" s="232">
        <f t="shared" si="122"/>
        <v>3083.33333333333</v>
      </c>
      <c r="J154" s="246"/>
      <c r="K154" s="306">
        <v>3083.33333333333</v>
      </c>
      <c r="L154" s="188">
        <f t="shared" si="123"/>
        <v>3083.33333333333</v>
      </c>
      <c r="M154" s="188">
        <f t="shared" si="124"/>
        <v>3083.33333333333</v>
      </c>
      <c r="N154" s="188">
        <f t="shared" si="125"/>
        <v>3083.33333333333</v>
      </c>
      <c r="O154" s="180">
        <f t="shared" si="121"/>
        <v>3083.33333333333</v>
      </c>
      <c r="P154" s="180">
        <v>3083.33333333333</v>
      </c>
      <c r="Q154" s="180">
        <f t="shared" si="126"/>
        <v>3083.33333333333</v>
      </c>
      <c r="R154" s="180">
        <f t="shared" si="129"/>
        <v>3083.33333333333</v>
      </c>
      <c r="S154" s="211"/>
      <c r="T154" s="243"/>
      <c r="U154" s="243"/>
      <c r="V154" s="244"/>
      <c r="W154" s="245">
        <f t="shared" si="120"/>
        <v>49333.3333333333</v>
      </c>
      <c r="X154" s="188">
        <f t="shared" si="127"/>
        <v>40</v>
      </c>
    </row>
    <row r="155" ht="23" customHeight="1" spans="1:25">
      <c r="A155" s="185">
        <v>33</v>
      </c>
      <c r="B155" s="183" t="s">
        <v>1022</v>
      </c>
      <c r="C155" s="1063" t="s">
        <v>1023</v>
      </c>
      <c r="D155" s="186" t="s">
        <v>983</v>
      </c>
      <c r="E155" s="187">
        <v>1</v>
      </c>
      <c r="F155" s="241">
        <v>500000</v>
      </c>
      <c r="G155" s="210">
        <f t="shared" si="128"/>
        <v>500000</v>
      </c>
      <c r="H155" s="180">
        <v>60</v>
      </c>
      <c r="I155" s="232">
        <f t="shared" si="122"/>
        <v>8333.33333333333</v>
      </c>
      <c r="J155" s="170"/>
      <c r="K155" s="308">
        <v>8333.33333333333</v>
      </c>
      <c r="L155" s="188">
        <f t="shared" si="123"/>
        <v>8333.33333333333</v>
      </c>
      <c r="M155" s="188">
        <f t="shared" si="124"/>
        <v>8333.33333333333</v>
      </c>
      <c r="N155" s="188">
        <f t="shared" si="125"/>
        <v>8333.33333333333</v>
      </c>
      <c r="O155" s="180">
        <f t="shared" si="121"/>
        <v>8333.33333333333</v>
      </c>
      <c r="P155" s="180">
        <v>8333.33333333333</v>
      </c>
      <c r="Q155" s="180">
        <f t="shared" si="126"/>
        <v>8333.33333333333</v>
      </c>
      <c r="R155" s="180">
        <f t="shared" si="129"/>
        <v>8333.33333333333</v>
      </c>
      <c r="S155" s="211"/>
      <c r="T155" s="243"/>
      <c r="U155" s="243"/>
      <c r="V155" s="244"/>
      <c r="W155" s="245">
        <f>SUM(K155+L155+M155+N155+O155+P155+Q155+R155+S155+T155+U155+V155+W66)</f>
        <v>133333.333333333</v>
      </c>
      <c r="X155" s="188">
        <f t="shared" si="127"/>
        <v>40</v>
      </c>
    </row>
    <row r="156" ht="23" customHeight="1" spans="1:25">
      <c r="A156" s="185"/>
      <c r="B156" s="183"/>
      <c r="C156" s="185"/>
      <c r="D156" s="186"/>
      <c r="E156" s="187"/>
      <c r="F156" s="241"/>
      <c r="G156" s="198">
        <f>SUM(G152:G155)</f>
        <v>1985000</v>
      </c>
      <c r="H156" s="180"/>
      <c r="I156" s="232"/>
      <c r="J156" s="250"/>
      <c r="K156" s="309"/>
      <c r="L156" s="251"/>
      <c r="M156" s="188">
        <f t="shared" si="124"/>
        <v>0</v>
      </c>
      <c r="N156" s="251"/>
      <c r="O156" s="180">
        <f t="shared" si="121"/>
        <v>0</v>
      </c>
      <c r="P156" s="251"/>
      <c r="Q156" s="251"/>
      <c r="R156" s="180">
        <f t="shared" si="129"/>
        <v>0</v>
      </c>
      <c r="S156" s="251"/>
      <c r="T156" s="244"/>
      <c r="U156" s="251"/>
      <c r="V156" s="253"/>
      <c r="W156" s="254"/>
      <c r="X156" s="170"/>
    </row>
    <row r="157" ht="23" customHeight="1" spans="1:25">
      <c r="A157" s="185"/>
      <c r="B157" s="183"/>
      <c r="C157" s="185"/>
      <c r="D157" s="186"/>
      <c r="E157" s="187"/>
      <c r="F157" s="241"/>
      <c r="G157" s="203">
        <f>SUM(G122+G128+G150+G156)</f>
        <v>69870000</v>
      </c>
      <c r="H157" s="180"/>
      <c r="I157" s="232"/>
      <c r="J157" s="255"/>
      <c r="K157" s="256"/>
      <c r="L157" s="256"/>
      <c r="M157" s="256"/>
      <c r="N157" s="256"/>
      <c r="O157" s="180"/>
      <c r="P157" s="256"/>
      <c r="Q157" s="256"/>
      <c r="R157" s="180">
        <f t="shared" si="129"/>
        <v>0</v>
      </c>
      <c r="S157" s="256"/>
      <c r="T157" s="256"/>
      <c r="U157" s="256"/>
      <c r="V157" s="256"/>
      <c r="W157" s="256"/>
      <c r="X157" s="170"/>
    </row>
    <row r="158" ht="23" customHeight="1" spans="1:25">
      <c r="A158" s="185">
        <v>34</v>
      </c>
      <c r="B158" s="240" t="s">
        <v>1024</v>
      </c>
      <c r="C158" s="1063" t="s">
        <v>1025</v>
      </c>
      <c r="D158" s="186" t="s">
        <v>983</v>
      </c>
      <c r="E158" s="187">
        <v>2</v>
      </c>
      <c r="F158" s="180">
        <v>116500</v>
      </c>
      <c r="G158" s="210">
        <f t="shared" ref="G158:G163" si="130">SUM(E158*F158)</f>
        <v>233000</v>
      </c>
      <c r="H158" s="180">
        <v>60</v>
      </c>
      <c r="I158" s="232">
        <f t="shared" ref="I158:I163" si="131">SUM(G158/H158)</f>
        <v>3883.33333333333</v>
      </c>
      <c r="J158" s="170"/>
      <c r="K158" s="244">
        <f t="shared" ref="K158:K163" si="132">SUM(I158)</f>
        <v>3883.33333333333</v>
      </c>
      <c r="L158" s="244">
        <f t="shared" ref="L158:L163" si="133">SUM(I158)</f>
        <v>3883.33333333333</v>
      </c>
      <c r="M158" s="244">
        <f t="shared" ref="M158:M163" si="134">SUM(I158)</f>
        <v>3883.33333333333</v>
      </c>
      <c r="N158" s="188">
        <f t="shared" ref="N158:N163" si="135">SUM(I158)</f>
        <v>3883.33333333333</v>
      </c>
      <c r="O158" s="180">
        <f t="shared" ref="O158:O163" si="136">SUM(I158)</f>
        <v>3883.33333333333</v>
      </c>
      <c r="P158" s="180">
        <f>I158</f>
        <v>3883.33333333333</v>
      </c>
      <c r="Q158" s="180">
        <f t="shared" ref="Q158:Q164" si="137">SUM(I158)</f>
        <v>3883.33333333333</v>
      </c>
      <c r="R158" s="180">
        <f t="shared" si="129"/>
        <v>3883.33333333333</v>
      </c>
      <c r="S158" s="211"/>
      <c r="T158" s="243"/>
      <c r="U158" s="243"/>
      <c r="V158" s="244"/>
      <c r="W158" s="257">
        <f t="shared" ref="W158:W163" si="138">SUM(K158+L158+M158+N158+O158+P158+Q158+R158+S158+T158+U158+V158+W69)</f>
        <v>58249.9999999999</v>
      </c>
      <c r="X158" s="188">
        <f>SUM(H158-7-12)</f>
        <v>41</v>
      </c>
    </row>
    <row r="159" ht="23" customHeight="1" spans="1:25">
      <c r="A159" s="185"/>
      <c r="B159" s="240"/>
      <c r="C159" s="185"/>
      <c r="D159" s="186"/>
      <c r="E159" s="187"/>
      <c r="F159" s="180"/>
      <c r="G159" s="198">
        <f>SUM(G158:G158)</f>
        <v>233000</v>
      </c>
      <c r="H159" s="180"/>
      <c r="I159" s="232"/>
      <c r="J159" s="250"/>
      <c r="K159" s="251"/>
      <c r="L159" s="251"/>
      <c r="M159" s="251"/>
      <c r="N159" s="251"/>
      <c r="O159" s="180">
        <f t="shared" si="136"/>
        <v>0</v>
      </c>
      <c r="P159" s="258"/>
      <c r="Q159" s="251"/>
      <c r="R159" s="180">
        <f t="shared" si="129"/>
        <v>0</v>
      </c>
      <c r="S159" s="251"/>
      <c r="T159" s="251"/>
      <c r="U159" s="251"/>
      <c r="V159" s="253"/>
      <c r="W159" s="254"/>
      <c r="X159" s="170"/>
    </row>
    <row r="160" ht="23" customHeight="1" spans="1:25">
      <c r="A160" s="185"/>
      <c r="B160" s="240"/>
      <c r="C160" s="185"/>
      <c r="D160" s="186"/>
      <c r="E160" s="187"/>
      <c r="F160" s="180"/>
      <c r="G160" s="203">
        <f>SUM(G122+G128+G150+G156+G159)</f>
        <v>70103000</v>
      </c>
      <c r="H160" s="180"/>
      <c r="I160" s="232"/>
      <c r="J160" s="259"/>
      <c r="K160" s="260"/>
      <c r="L160" s="260"/>
      <c r="M160" s="260"/>
      <c r="N160" s="260"/>
      <c r="O160" s="180">
        <f t="shared" si="136"/>
        <v>0</v>
      </c>
      <c r="P160" s="260"/>
      <c r="Q160" s="260"/>
      <c r="R160" s="180">
        <f t="shared" si="129"/>
        <v>0</v>
      </c>
      <c r="S160" s="260"/>
      <c r="T160" s="260"/>
      <c r="U160" s="260"/>
      <c r="V160" s="261"/>
      <c r="W160" s="262"/>
      <c r="X160" s="170"/>
    </row>
    <row r="161" ht="23" customHeight="1" spans="1:24">
      <c r="A161" s="184">
        <v>35</v>
      </c>
      <c r="B161" s="183" t="s">
        <v>1026</v>
      </c>
      <c r="C161" s="185" t="s">
        <v>1027</v>
      </c>
      <c r="D161" s="186"/>
      <c r="E161" s="187">
        <v>8</v>
      </c>
      <c r="F161" s="241">
        <v>35000</v>
      </c>
      <c r="G161" s="210">
        <f t="shared" si="130"/>
        <v>280000</v>
      </c>
      <c r="H161" s="241">
        <v>60</v>
      </c>
      <c r="I161" s="232">
        <f t="shared" si="131"/>
        <v>4666.66666666667</v>
      </c>
      <c r="J161" s="170"/>
      <c r="K161" s="244">
        <f t="shared" si="132"/>
        <v>4666.66666666667</v>
      </c>
      <c r="L161" s="244">
        <f t="shared" si="133"/>
        <v>4666.66666666667</v>
      </c>
      <c r="M161" s="244">
        <f t="shared" si="134"/>
        <v>4666.66666666667</v>
      </c>
      <c r="N161" s="310">
        <f t="shared" si="135"/>
        <v>4666.66666666667</v>
      </c>
      <c r="O161" s="180">
        <f t="shared" si="136"/>
        <v>4666.66666666667</v>
      </c>
      <c r="P161" s="311" cm="1">
        <f t="array" ref="P161:P163">I161:I163</f>
        <v>4666.66666666667</v>
      </c>
      <c r="Q161" s="180">
        <f t="shared" si="137"/>
        <v>4666.66666666667</v>
      </c>
      <c r="R161" s="180">
        <f t="shared" si="129"/>
        <v>4666.66666666667</v>
      </c>
      <c r="S161" s="211"/>
      <c r="T161" s="243"/>
      <c r="U161" s="243"/>
      <c r="V161" s="244"/>
      <c r="W161" s="257">
        <f t="shared" si="138"/>
        <v>65333.3333333334</v>
      </c>
      <c r="X161" s="188">
        <f t="shared" ref="X161:X163" si="139">SUM(H161-6-12)</f>
        <v>42</v>
      </c>
    </row>
    <row r="162" ht="23" customHeight="1" spans="1:24">
      <c r="A162" s="184">
        <v>36</v>
      </c>
      <c r="B162" s="183" t="s">
        <v>1028</v>
      </c>
      <c r="C162" s="1063" t="s">
        <v>1029</v>
      </c>
      <c r="D162" s="186" t="s">
        <v>983</v>
      </c>
      <c r="E162" s="187">
        <v>15</v>
      </c>
      <c r="F162" s="241">
        <v>250000</v>
      </c>
      <c r="G162" s="210">
        <f t="shared" si="130"/>
        <v>3750000</v>
      </c>
      <c r="H162" s="241">
        <v>60</v>
      </c>
      <c r="I162" s="232">
        <f t="shared" si="131"/>
        <v>62500</v>
      </c>
      <c r="J162" s="170"/>
      <c r="K162" s="244">
        <f t="shared" si="132"/>
        <v>62500</v>
      </c>
      <c r="L162" s="244">
        <f t="shared" si="133"/>
        <v>62500</v>
      </c>
      <c r="M162" s="244">
        <f t="shared" si="134"/>
        <v>62500</v>
      </c>
      <c r="N162" s="310">
        <f t="shared" si="135"/>
        <v>62500</v>
      </c>
      <c r="O162" s="180">
        <f t="shared" si="136"/>
        <v>62500</v>
      </c>
      <c r="P162" s="170">
        <v>62500</v>
      </c>
      <c r="Q162" s="180">
        <f t="shared" si="137"/>
        <v>62500</v>
      </c>
      <c r="R162" s="180">
        <f t="shared" si="129"/>
        <v>62500</v>
      </c>
      <c r="S162" s="211"/>
      <c r="T162" s="243"/>
      <c r="U162" s="243"/>
      <c r="V162" s="244"/>
      <c r="W162" s="257">
        <f t="shared" si="138"/>
        <v>875000</v>
      </c>
      <c r="X162" s="188">
        <f t="shared" si="139"/>
        <v>42</v>
      </c>
    </row>
    <row r="163" ht="23" customHeight="1" spans="1:24">
      <c r="A163" s="184">
        <v>37</v>
      </c>
      <c r="B163" s="183" t="s">
        <v>1011</v>
      </c>
      <c r="C163" s="1063" t="s">
        <v>1029</v>
      </c>
      <c r="D163" s="186" t="s">
        <v>983</v>
      </c>
      <c r="E163" s="187">
        <v>30</v>
      </c>
      <c r="F163" s="241">
        <v>35000</v>
      </c>
      <c r="G163" s="210">
        <f t="shared" si="130"/>
        <v>1050000</v>
      </c>
      <c r="H163" s="241">
        <v>60</v>
      </c>
      <c r="I163" s="232">
        <f t="shared" si="131"/>
        <v>17500</v>
      </c>
      <c r="J163" s="170"/>
      <c r="K163" s="244">
        <f t="shared" si="132"/>
        <v>17500</v>
      </c>
      <c r="L163" s="244">
        <f t="shared" si="133"/>
        <v>17500</v>
      </c>
      <c r="M163" s="244">
        <f t="shared" si="134"/>
        <v>17500</v>
      </c>
      <c r="N163" s="310">
        <f t="shared" si="135"/>
        <v>17500</v>
      </c>
      <c r="O163" s="180">
        <f t="shared" si="136"/>
        <v>17500</v>
      </c>
      <c r="P163" s="188">
        <v>17500</v>
      </c>
      <c r="Q163" s="180">
        <f t="shared" si="137"/>
        <v>17500</v>
      </c>
      <c r="R163" s="180">
        <f t="shared" si="129"/>
        <v>17500</v>
      </c>
      <c r="S163" s="211"/>
      <c r="T163" s="243"/>
      <c r="U163" s="243"/>
      <c r="V163" s="244"/>
      <c r="W163" s="257">
        <f t="shared" si="138"/>
        <v>245000</v>
      </c>
      <c r="X163" s="188">
        <f t="shared" si="139"/>
        <v>42</v>
      </c>
    </row>
    <row r="164" ht="23" customHeight="1" spans="1:24">
      <c r="A164" s="184"/>
      <c r="B164" s="183"/>
      <c r="C164" s="185"/>
      <c r="D164" s="186"/>
      <c r="E164" s="187"/>
      <c r="F164" s="241"/>
      <c r="G164" s="198">
        <f>SUM(G161:G163)</f>
        <v>5080000</v>
      </c>
      <c r="H164" s="241"/>
      <c r="I164" s="232"/>
      <c r="J164" s="250"/>
      <c r="K164" s="251"/>
      <c r="L164" s="251"/>
      <c r="M164" s="251"/>
      <c r="N164" s="251"/>
      <c r="O164" s="180"/>
      <c r="P164" s="251"/>
      <c r="Q164" s="180">
        <f t="shared" si="137"/>
        <v>0</v>
      </c>
      <c r="R164" s="180">
        <f t="shared" si="129"/>
        <v>0</v>
      </c>
      <c r="S164" s="251"/>
      <c r="T164" s="251"/>
      <c r="U164" s="251"/>
      <c r="V164" s="253"/>
      <c r="W164" s="254"/>
      <c r="X164" s="170"/>
    </row>
    <row r="165" ht="23" customHeight="1" spans="1:24">
      <c r="A165" s="184"/>
      <c r="B165" s="183"/>
      <c r="C165" s="185"/>
      <c r="D165" s="186"/>
      <c r="E165" s="187"/>
      <c r="F165" s="241"/>
      <c r="G165" s="203">
        <f>SUM(G122+G128+G150+G156+G159+G164)</f>
        <v>75183000</v>
      </c>
      <c r="H165" s="241"/>
      <c r="I165" s="232"/>
      <c r="J165" s="255"/>
      <c r="K165" s="256"/>
      <c r="L165" s="256"/>
      <c r="M165" s="256"/>
      <c r="N165" s="256"/>
      <c r="O165" s="180"/>
      <c r="P165" s="256"/>
      <c r="Q165" s="256"/>
      <c r="R165" s="180">
        <f t="shared" si="129"/>
        <v>0</v>
      </c>
      <c r="S165" s="256"/>
      <c r="T165" s="256"/>
      <c r="U165" s="256"/>
      <c r="V165" s="256"/>
      <c r="W165" s="256"/>
      <c r="X165" s="170"/>
    </row>
    <row r="166" ht="23" customHeight="1" spans="1:24">
      <c r="A166" s="184">
        <v>38</v>
      </c>
      <c r="B166" s="183" t="s">
        <v>1030</v>
      </c>
      <c r="C166" s="1063" t="s">
        <v>1031</v>
      </c>
      <c r="D166" s="186" t="s">
        <v>983</v>
      </c>
      <c r="E166" s="187">
        <v>1</v>
      </c>
      <c r="F166" s="180">
        <v>1950000</v>
      </c>
      <c r="G166" s="210">
        <f>SUM(E166*F166)</f>
        <v>1950000</v>
      </c>
      <c r="H166" s="241">
        <v>60</v>
      </c>
      <c r="I166" s="232">
        <f>SUM(G166/H166)</f>
        <v>32500</v>
      </c>
      <c r="J166" s="170"/>
      <c r="K166" s="244">
        <f>SUM(I166)</f>
        <v>32500</v>
      </c>
      <c r="L166" s="244">
        <f>SUM(I166)</f>
        <v>32500</v>
      </c>
      <c r="M166" s="244">
        <f>SUM(I166)</f>
        <v>32500</v>
      </c>
      <c r="N166" s="311">
        <f>SUM(I166)</f>
        <v>32500</v>
      </c>
      <c r="O166" s="180">
        <f t="shared" ref="O166:O175" si="140">SUM(I166)</f>
        <v>32500</v>
      </c>
      <c r="P166" s="170">
        <f>I166</f>
        <v>32500</v>
      </c>
      <c r="Q166" s="311">
        <f>SUM(I166)</f>
        <v>32500</v>
      </c>
      <c r="R166" s="180">
        <f t="shared" si="129"/>
        <v>32500</v>
      </c>
      <c r="S166" s="211"/>
      <c r="T166" s="243"/>
      <c r="U166" s="243"/>
      <c r="V166" s="244"/>
      <c r="W166" s="257">
        <f>SUM(K166+L166+M166+N166+O166+P166+Q166+R166+S166+T166+U166+V166+W77)</f>
        <v>422500</v>
      </c>
      <c r="X166" s="188">
        <f>H166-5-12</f>
        <v>43</v>
      </c>
    </row>
    <row r="167" ht="23" customHeight="1" spans="1:24">
      <c r="A167" s="184"/>
      <c r="B167" s="189"/>
      <c r="C167" s="191"/>
      <c r="D167" s="192"/>
      <c r="E167" s="193"/>
      <c r="F167" s="194"/>
      <c r="G167" s="198">
        <f>SUM(G166:G166)</f>
        <v>1950000</v>
      </c>
      <c r="H167" s="264"/>
      <c r="I167" s="265"/>
      <c r="J167" s="266"/>
      <c r="K167" s="254"/>
      <c r="L167" s="254"/>
      <c r="M167" s="254"/>
      <c r="N167" s="254"/>
      <c r="O167" s="180"/>
      <c r="P167" s="254"/>
      <c r="Q167" s="254"/>
      <c r="R167" s="180">
        <f t="shared" si="129"/>
        <v>0</v>
      </c>
      <c r="S167" s="254"/>
      <c r="T167" s="254"/>
      <c r="U167" s="254"/>
      <c r="V167" s="267"/>
      <c r="W167" s="254"/>
      <c r="X167" s="170"/>
    </row>
    <row r="168" ht="23" customHeight="1" spans="1:24">
      <c r="A168" s="184"/>
      <c r="B168" s="189"/>
      <c r="C168" s="191"/>
      <c r="D168" s="192"/>
      <c r="E168" s="193"/>
      <c r="F168" s="194"/>
      <c r="G168" s="203">
        <f>SUM(G112+G122+G128+G150+G156+G159+G164+G167)</f>
        <v>229633000</v>
      </c>
      <c r="H168" s="264"/>
      <c r="I168" s="265"/>
      <c r="J168" s="268"/>
      <c r="K168" s="262"/>
      <c r="L168" s="262"/>
      <c r="M168" s="262"/>
      <c r="N168" s="262"/>
      <c r="O168" s="180"/>
      <c r="P168" s="262"/>
      <c r="Q168" s="262"/>
      <c r="R168" s="180">
        <f t="shared" si="129"/>
        <v>0</v>
      </c>
      <c r="S168" s="262"/>
      <c r="T168" s="262"/>
      <c r="U168" s="262"/>
      <c r="V168" s="269"/>
      <c r="W168" s="262"/>
      <c r="X168" s="170"/>
    </row>
    <row r="169" ht="23" customHeight="1" spans="1:24">
      <c r="A169" s="184">
        <v>39</v>
      </c>
      <c r="B169" s="189" t="s">
        <v>1032</v>
      </c>
      <c r="C169" s="1064" t="s">
        <v>1033</v>
      </c>
      <c r="D169" s="192" t="s">
        <v>983</v>
      </c>
      <c r="E169" s="193">
        <v>1</v>
      </c>
      <c r="F169" s="194">
        <v>1600000</v>
      </c>
      <c r="G169" s="210">
        <f>SUM(E169*F169)</f>
        <v>1600000</v>
      </c>
      <c r="H169" s="264">
        <v>60</v>
      </c>
      <c r="I169" s="265">
        <f>SUM(G169/H169)</f>
        <v>26666.6666666667</v>
      </c>
      <c r="J169" s="170"/>
      <c r="K169" s="244">
        <f>SUM(I169)</f>
        <v>26666.6666666667</v>
      </c>
      <c r="L169" s="244">
        <f>SUM(I169)</f>
        <v>26666.6666666667</v>
      </c>
      <c r="M169" s="244">
        <f>SUM(I169)</f>
        <v>26666.6666666667</v>
      </c>
      <c r="N169" s="311">
        <f>SUM(I169)</f>
        <v>26666.6666666667</v>
      </c>
      <c r="O169" s="180">
        <f t="shared" si="140"/>
        <v>26666.6666666667</v>
      </c>
      <c r="P169" s="311">
        <f>I169</f>
        <v>26666.6666666667</v>
      </c>
      <c r="Q169" s="311">
        <f>SUM(I169)</f>
        <v>26666.6666666667</v>
      </c>
      <c r="R169" s="180">
        <f t="shared" si="129"/>
        <v>26666.6666666667</v>
      </c>
      <c r="S169" s="211"/>
      <c r="T169" s="243"/>
      <c r="U169" s="243"/>
      <c r="V169" s="270"/>
      <c r="W169" s="271">
        <f>SUM(K169+L169+M169+N169+O169+P169+Q169+R169+S169+T169+U169+V169+W80)</f>
        <v>320000.000000001</v>
      </c>
      <c r="X169" s="188">
        <f>H169-4-12</f>
        <v>44</v>
      </c>
    </row>
    <row r="170" ht="23" customHeight="1" spans="1:24">
      <c r="A170" s="184"/>
      <c r="B170" s="189"/>
      <c r="C170" s="191"/>
      <c r="D170" s="192"/>
      <c r="E170" s="193"/>
      <c r="F170" s="194"/>
      <c r="G170" s="198">
        <f>SUM(G169:G169)</f>
        <v>1600000</v>
      </c>
      <c r="H170" s="264"/>
      <c r="I170" s="265"/>
      <c r="J170" s="266"/>
      <c r="K170" s="254"/>
      <c r="L170" s="254"/>
      <c r="M170" s="254"/>
      <c r="N170" s="254"/>
      <c r="O170" s="180">
        <f t="shared" si="140"/>
        <v>0</v>
      </c>
      <c r="P170" s="254"/>
      <c r="Q170" s="254"/>
      <c r="R170" s="180">
        <f t="shared" si="129"/>
        <v>0</v>
      </c>
      <c r="S170" s="254"/>
      <c r="T170" s="254"/>
      <c r="U170" s="254"/>
      <c r="V170" s="267"/>
      <c r="W170" s="254"/>
      <c r="X170" s="170"/>
    </row>
    <row r="171" ht="23" customHeight="1" spans="1:24">
      <c r="A171" s="184"/>
      <c r="B171" s="189"/>
      <c r="C171" s="191"/>
      <c r="D171" s="192"/>
      <c r="E171" s="193"/>
      <c r="F171" s="194"/>
      <c r="G171" s="203">
        <f>SUM(G112+G122+G128+G150+G156+G159+G164+G167+G170+G114)</f>
        <v>273743000</v>
      </c>
      <c r="H171" s="264"/>
      <c r="I171" s="265"/>
      <c r="J171" s="266"/>
      <c r="K171" s="254"/>
      <c r="L171" s="254"/>
      <c r="M171" s="254"/>
      <c r="N171" s="254"/>
      <c r="O171" s="180">
        <f t="shared" si="140"/>
        <v>0</v>
      </c>
      <c r="P171" s="254"/>
      <c r="Q171" s="254"/>
      <c r="R171" s="180">
        <f t="shared" si="129"/>
        <v>0</v>
      </c>
      <c r="S171" s="254"/>
      <c r="T171" s="254"/>
      <c r="U171" s="254"/>
      <c r="V171" s="267"/>
      <c r="W171" s="254"/>
      <c r="X171" s="170"/>
    </row>
    <row r="172" ht="23" customHeight="1" spans="1:24">
      <c r="A172" s="184">
        <v>40</v>
      </c>
      <c r="B172" s="189" t="s">
        <v>1034</v>
      </c>
      <c r="C172" s="1064" t="s">
        <v>1035</v>
      </c>
      <c r="D172" s="192" t="s">
        <v>983</v>
      </c>
      <c r="E172" s="193">
        <v>1</v>
      </c>
      <c r="F172" s="194">
        <v>150000</v>
      </c>
      <c r="G172" s="272">
        <f>F172*E172</f>
        <v>150000</v>
      </c>
      <c r="H172" s="264">
        <v>60</v>
      </c>
      <c r="I172" s="232">
        <f>SUM(G172/H172)</f>
        <v>2500</v>
      </c>
      <c r="J172" s="232"/>
      <c r="K172" s="232">
        <f>SUM(I172)</f>
        <v>2500</v>
      </c>
      <c r="L172" s="232">
        <f>SUM(I172)</f>
        <v>2500</v>
      </c>
      <c r="M172" s="232">
        <f>SUM(I172)</f>
        <v>2500</v>
      </c>
      <c r="N172" s="232">
        <f>SUM(I172)</f>
        <v>2500</v>
      </c>
      <c r="O172" s="180">
        <f t="shared" si="140"/>
        <v>2500</v>
      </c>
      <c r="P172" s="232">
        <f>I172</f>
        <v>2500</v>
      </c>
      <c r="Q172" s="232">
        <f>SUM(I172)</f>
        <v>2500</v>
      </c>
      <c r="R172" s="180">
        <f t="shared" si="129"/>
        <v>2500</v>
      </c>
      <c r="S172" s="232"/>
      <c r="T172" s="232"/>
      <c r="U172" s="232"/>
      <c r="V172" s="232"/>
      <c r="W172" s="273">
        <f>SUM(K172+L172+M172+N172+O172+P172+Q172+R172+S172+T172+U172+V172+W83)</f>
        <v>27500</v>
      </c>
      <c r="X172" s="188">
        <f>H172-3-12</f>
        <v>45</v>
      </c>
    </row>
    <row r="173" ht="23" customHeight="1" spans="1:24">
      <c r="A173" s="184"/>
      <c r="B173" s="189"/>
      <c r="C173" s="191"/>
      <c r="D173" s="192"/>
      <c r="E173" s="193"/>
      <c r="F173" s="194"/>
      <c r="G173" s="198">
        <f>SUM(G172:G172)</f>
        <v>150000</v>
      </c>
      <c r="H173" s="264"/>
      <c r="I173" s="232"/>
      <c r="J173" s="232"/>
      <c r="K173" s="232"/>
      <c r="L173" s="232"/>
      <c r="M173" s="232"/>
      <c r="N173" s="232"/>
      <c r="O173" s="180">
        <f t="shared" si="140"/>
        <v>0</v>
      </c>
      <c r="P173" s="232"/>
      <c r="Q173" s="232"/>
      <c r="R173" s="180">
        <f t="shared" si="129"/>
        <v>0</v>
      </c>
      <c r="S173" s="232"/>
      <c r="T173" s="232"/>
      <c r="U173" s="232"/>
      <c r="V173" s="232"/>
      <c r="W173" s="273"/>
      <c r="X173" s="170"/>
    </row>
    <row r="174" ht="23" customHeight="1" spans="1:24">
      <c r="A174" s="184"/>
      <c r="B174" s="189"/>
      <c r="C174" s="191"/>
      <c r="D174" s="192"/>
      <c r="E174" s="193"/>
      <c r="F174" s="194"/>
      <c r="G174" s="203">
        <f>SUM(G112+G114+G116+G122+G128+G150+G156+G159+G164+G167+G170+G173)</f>
        <v>303893000</v>
      </c>
      <c r="H174" s="264"/>
      <c r="I174" s="232"/>
      <c r="J174" s="268"/>
      <c r="K174" s="262"/>
      <c r="L174" s="262"/>
      <c r="M174" s="262"/>
      <c r="N174" s="262"/>
      <c r="O174" s="180">
        <f t="shared" si="140"/>
        <v>0</v>
      </c>
      <c r="P174" s="262"/>
      <c r="Q174" s="262"/>
      <c r="R174" s="180">
        <f t="shared" si="129"/>
        <v>0</v>
      </c>
      <c r="S174" s="262"/>
      <c r="T174" s="262"/>
      <c r="U174" s="262"/>
      <c r="V174" s="269"/>
      <c r="W174" s="262"/>
      <c r="X174" s="170"/>
    </row>
    <row r="175" ht="23" customHeight="1" spans="1:24">
      <c r="A175" s="184">
        <v>41</v>
      </c>
      <c r="B175" s="189" t="s">
        <v>1041</v>
      </c>
      <c r="C175" s="1064" t="s">
        <v>1042</v>
      </c>
      <c r="D175" s="192" t="s">
        <v>983</v>
      </c>
      <c r="E175" s="193">
        <v>1</v>
      </c>
      <c r="F175" s="194">
        <v>150000</v>
      </c>
      <c r="G175" s="272">
        <f>SUM(F175*E175)</f>
        <v>150000</v>
      </c>
      <c r="H175" s="264">
        <v>60</v>
      </c>
      <c r="I175" s="232">
        <f>SUM(G175/H175)</f>
        <v>2500</v>
      </c>
      <c r="J175" s="312"/>
      <c r="K175" s="313">
        <f>SUM(I175)</f>
        <v>2500</v>
      </c>
      <c r="L175" s="313">
        <f>SUM(I175)</f>
        <v>2500</v>
      </c>
      <c r="M175" s="313">
        <f>SUM(I175)</f>
        <v>2500</v>
      </c>
      <c r="N175" s="314">
        <f>SUM(I175)</f>
        <v>2500</v>
      </c>
      <c r="O175" s="180">
        <f t="shared" si="140"/>
        <v>2500</v>
      </c>
      <c r="P175" s="312">
        <f>I175</f>
        <v>2500</v>
      </c>
      <c r="Q175" s="312">
        <f>SUM(I175)</f>
        <v>2500</v>
      </c>
      <c r="R175" s="180">
        <f t="shared" si="129"/>
        <v>2500</v>
      </c>
      <c r="S175" s="312"/>
      <c r="T175" s="312"/>
      <c r="U175" s="312"/>
      <c r="V175" s="312"/>
      <c r="W175" s="313">
        <f>SUM(K175:V175)</f>
        <v>20000</v>
      </c>
      <c r="X175" s="188">
        <f>SUM(H175-12)</f>
        <v>48</v>
      </c>
    </row>
    <row r="176" ht="23" customHeight="1" spans="1:24">
      <c r="A176" s="184"/>
      <c r="B176" s="189"/>
      <c r="C176" s="191"/>
      <c r="D176" s="192"/>
      <c r="E176" s="193"/>
      <c r="F176" s="194"/>
      <c r="G176" s="198">
        <f>SUM(G175:G175)</f>
        <v>150000</v>
      </c>
      <c r="H176" s="264"/>
      <c r="I176" s="232"/>
      <c r="J176" s="268"/>
      <c r="K176" s="315">
        <f t="shared" ref="K176:N176" si="141">SUM(K139:K175)</f>
        <v>316633.333333333</v>
      </c>
      <c r="L176" s="315">
        <f t="shared" si="141"/>
        <v>316633.333333333</v>
      </c>
      <c r="M176" s="315">
        <f t="shared" si="141"/>
        <v>316633.333333333</v>
      </c>
      <c r="N176" s="315">
        <f t="shared" si="141"/>
        <v>316633.333333333</v>
      </c>
      <c r="O176" s="315"/>
      <c r="P176" s="262"/>
      <c r="Q176" s="262"/>
      <c r="R176" s="180">
        <f t="shared" si="129"/>
        <v>0</v>
      </c>
      <c r="S176" s="262"/>
      <c r="T176" s="262"/>
      <c r="U176" s="262"/>
      <c r="V176" s="262"/>
      <c r="W176" s="262"/>
      <c r="X176" s="170"/>
    </row>
    <row r="177" ht="23" customHeight="1" spans="1:24">
      <c r="A177" s="184"/>
      <c r="B177" s="189"/>
      <c r="C177" s="191"/>
      <c r="D177" s="192"/>
      <c r="E177" s="193"/>
      <c r="F177" s="194"/>
      <c r="G177" s="203">
        <f>SUM(G112+G114+G116+G122+G128+G150+G156+G159+G164+G167+G170+G173+G176)</f>
        <v>304043000</v>
      </c>
      <c r="H177" s="264"/>
      <c r="I177" s="232"/>
      <c r="J177" s="268"/>
      <c r="K177" s="315"/>
      <c r="L177" s="315"/>
      <c r="M177" s="315"/>
      <c r="N177" s="315"/>
      <c r="O177" s="315"/>
      <c r="P177" s="262"/>
      <c r="Q177" s="262"/>
      <c r="R177" s="180">
        <f t="shared" si="129"/>
        <v>0</v>
      </c>
      <c r="S177" s="262"/>
      <c r="T177" s="262"/>
      <c r="U177" s="262"/>
      <c r="V177" s="262"/>
      <c r="W177" s="262"/>
      <c r="X177" s="170"/>
    </row>
    <row r="178" ht="23" customHeight="1" spans="1:24">
      <c r="A178" s="184">
        <v>42</v>
      </c>
      <c r="B178" s="189" t="s">
        <v>1043</v>
      </c>
      <c r="C178" s="1064" t="s">
        <v>1044</v>
      </c>
      <c r="D178" s="192" t="s">
        <v>983</v>
      </c>
      <c r="E178" s="193">
        <v>1</v>
      </c>
      <c r="F178" s="194">
        <v>4100000</v>
      </c>
      <c r="G178" s="272">
        <f t="shared" ref="G178:G183" si="142">SUM(F178*E178)</f>
        <v>4100000</v>
      </c>
      <c r="H178" s="264">
        <v>60</v>
      </c>
      <c r="I178" s="232">
        <f>SUM(G178/H178)</f>
        <v>68333.3333333333</v>
      </c>
      <c r="J178" s="268"/>
      <c r="K178" s="315"/>
      <c r="L178" s="315"/>
      <c r="M178" s="315"/>
      <c r="N178" s="315"/>
      <c r="O178" s="316">
        <f t="shared" ref="O178:O183" si="143">SUM(I178)</f>
        <v>68333.3333333333</v>
      </c>
      <c r="P178" s="317">
        <f t="shared" ref="P178:P183" si="144">I178</f>
        <v>68333.3333333333</v>
      </c>
      <c r="Q178" s="317">
        <f t="shared" ref="Q178:Q183" si="145">SUM(I178)</f>
        <v>68333.3333333333</v>
      </c>
      <c r="R178" s="180">
        <f t="shared" si="129"/>
        <v>68333.3333333333</v>
      </c>
      <c r="S178" s="262"/>
      <c r="T178" s="262"/>
      <c r="U178" s="262"/>
      <c r="V178" s="262"/>
      <c r="W178" s="262"/>
      <c r="X178" s="170"/>
    </row>
    <row r="179" ht="23" customHeight="1" spans="1:24">
      <c r="A179" s="184"/>
      <c r="B179" s="189"/>
      <c r="C179" s="191"/>
      <c r="D179" s="192"/>
      <c r="E179" s="193"/>
      <c r="F179" s="194"/>
      <c r="G179" s="198">
        <f t="shared" ref="G179:G184" si="146">SUM(G178:G178)</f>
        <v>4100000</v>
      </c>
      <c r="H179" s="264"/>
      <c r="I179" s="232"/>
      <c r="J179" s="268"/>
      <c r="K179" s="315"/>
      <c r="L179" s="315"/>
      <c r="M179" s="315"/>
      <c r="N179" s="315"/>
      <c r="O179" s="315"/>
      <c r="P179" s="262"/>
      <c r="Q179" s="262"/>
      <c r="R179" s="180">
        <f t="shared" si="129"/>
        <v>0</v>
      </c>
      <c r="S179" s="262"/>
      <c r="T179" s="262"/>
      <c r="U179" s="262"/>
      <c r="V179" s="262"/>
      <c r="W179" s="262"/>
      <c r="X179" s="170"/>
    </row>
    <row r="180" ht="23" customHeight="1" spans="1:24">
      <c r="A180" s="184"/>
      <c r="B180" s="189"/>
      <c r="C180" s="191"/>
      <c r="D180" s="192"/>
      <c r="E180" s="193"/>
      <c r="F180" s="194"/>
      <c r="G180" s="203">
        <f>SUM(G112+G114+G116+G122+G128+G150+G156+G159+G164+G167+G170+G173+G176+G179)</f>
        <v>308143000</v>
      </c>
      <c r="H180" s="264"/>
      <c r="I180" s="232"/>
      <c r="J180" s="268"/>
      <c r="K180" s="315"/>
      <c r="L180" s="315"/>
      <c r="M180" s="315"/>
      <c r="N180" s="315"/>
      <c r="O180" s="315"/>
      <c r="P180" s="262"/>
      <c r="Q180" s="262"/>
      <c r="R180" s="180">
        <f t="shared" si="129"/>
        <v>0</v>
      </c>
      <c r="S180" s="262"/>
      <c r="T180" s="262"/>
      <c r="U180" s="262"/>
      <c r="V180" s="262"/>
      <c r="W180" s="262"/>
      <c r="X180" s="170"/>
    </row>
    <row r="181" ht="23" customHeight="1" spans="1:24">
      <c r="A181" s="184">
        <v>43</v>
      </c>
      <c r="B181" s="189" t="s">
        <v>1045</v>
      </c>
      <c r="C181" s="1064" t="s">
        <v>1046</v>
      </c>
      <c r="D181" s="192"/>
      <c r="E181" s="193">
        <v>1</v>
      </c>
      <c r="F181" s="194">
        <v>200000</v>
      </c>
      <c r="G181" s="318">
        <f t="shared" si="142"/>
        <v>200000</v>
      </c>
      <c r="H181" s="264">
        <v>60</v>
      </c>
      <c r="I181" s="232">
        <f>SUM(F181/H181)</f>
        <v>3333.33333333333</v>
      </c>
      <c r="J181" s="268"/>
      <c r="K181" s="315"/>
      <c r="L181" s="315"/>
      <c r="M181" s="315"/>
      <c r="N181" s="315"/>
      <c r="O181" s="319">
        <f t="shared" si="143"/>
        <v>3333.33333333333</v>
      </c>
      <c r="P181" s="317">
        <f t="shared" si="144"/>
        <v>3333.33333333333</v>
      </c>
      <c r="Q181" s="317">
        <f t="shared" si="145"/>
        <v>3333.33333333333</v>
      </c>
      <c r="R181" s="180">
        <f t="shared" si="129"/>
        <v>3333.33333333333</v>
      </c>
      <c r="S181" s="262"/>
      <c r="T181" s="262"/>
      <c r="U181" s="262"/>
      <c r="V181" s="262"/>
      <c r="W181" s="262"/>
      <c r="X181" s="170"/>
    </row>
    <row r="182" ht="23" customHeight="1" spans="1:24">
      <c r="A182" s="184"/>
      <c r="B182" s="189"/>
      <c r="C182" s="191"/>
      <c r="D182" s="192"/>
      <c r="E182" s="193"/>
      <c r="F182" s="194"/>
      <c r="G182" s="198">
        <f t="shared" si="146"/>
        <v>200000</v>
      </c>
      <c r="H182" s="264"/>
      <c r="I182" s="232"/>
      <c r="J182" s="268"/>
      <c r="K182" s="315"/>
      <c r="L182" s="315"/>
      <c r="M182" s="315"/>
      <c r="N182" s="315"/>
      <c r="O182" s="315"/>
      <c r="P182" s="262"/>
      <c r="Q182" s="262"/>
      <c r="R182" s="180">
        <f t="shared" si="129"/>
        <v>0</v>
      </c>
      <c r="S182" s="262"/>
      <c r="T182" s="262"/>
      <c r="U182" s="262"/>
      <c r="V182" s="262"/>
      <c r="W182" s="262"/>
      <c r="X182" s="170"/>
    </row>
    <row r="183" ht="23" customHeight="1" spans="1:24">
      <c r="A183" s="184">
        <v>44</v>
      </c>
      <c r="B183" s="189" t="s">
        <v>1022</v>
      </c>
      <c r="C183" s="1064" t="s">
        <v>1047</v>
      </c>
      <c r="D183" s="192"/>
      <c r="E183" s="193">
        <v>1</v>
      </c>
      <c r="F183" s="194">
        <v>500000</v>
      </c>
      <c r="G183" s="318">
        <f t="shared" si="142"/>
        <v>500000</v>
      </c>
      <c r="H183" s="264">
        <v>60</v>
      </c>
      <c r="I183" s="232">
        <f>SUM(G183/H183)</f>
        <v>8333.33333333333</v>
      </c>
      <c r="J183" s="268"/>
      <c r="K183" s="315"/>
      <c r="L183" s="315"/>
      <c r="M183" s="315"/>
      <c r="N183" s="315"/>
      <c r="O183" s="319">
        <f t="shared" si="143"/>
        <v>8333.33333333333</v>
      </c>
      <c r="P183" s="317">
        <f t="shared" si="144"/>
        <v>8333.33333333333</v>
      </c>
      <c r="Q183" s="320">
        <f t="shared" si="145"/>
        <v>8333.33333333333</v>
      </c>
      <c r="R183" s="180">
        <f t="shared" si="129"/>
        <v>8333.33333333333</v>
      </c>
      <c r="S183" s="262"/>
      <c r="T183" s="262"/>
      <c r="U183" s="262"/>
      <c r="V183" s="262"/>
      <c r="W183" s="262"/>
      <c r="X183" s="170"/>
    </row>
    <row r="184" ht="23" customHeight="1" spans="1:24">
      <c r="A184" s="184"/>
      <c r="B184" s="183"/>
      <c r="C184" s="185"/>
      <c r="D184" s="186"/>
      <c r="E184" s="187"/>
      <c r="F184" s="180"/>
      <c r="G184" s="198">
        <f t="shared" si="146"/>
        <v>500000</v>
      </c>
      <c r="H184" s="241"/>
      <c r="I184" s="232"/>
      <c r="J184" s="268"/>
      <c r="K184" s="315"/>
      <c r="L184" s="315"/>
      <c r="M184" s="315" t="s">
        <v>226</v>
      </c>
      <c r="N184" s="315"/>
      <c r="O184" s="315">
        <f>SUM(O139:O183)</f>
        <v>396633.333333333</v>
      </c>
      <c r="P184" s="317"/>
      <c r="Q184" s="262"/>
      <c r="R184" s="180">
        <f t="shared" si="129"/>
        <v>0</v>
      </c>
      <c r="S184" s="262"/>
      <c r="T184" s="262"/>
      <c r="U184" s="262"/>
      <c r="V184" s="262"/>
      <c r="W184" s="262"/>
      <c r="X184" s="170"/>
    </row>
    <row r="185" ht="23" customHeight="1" spans="1:24">
      <c r="A185" s="184"/>
      <c r="B185" s="189"/>
      <c r="C185" s="191"/>
      <c r="D185" s="192"/>
      <c r="E185" s="193"/>
      <c r="F185" s="194"/>
      <c r="G185" s="203">
        <f>SUM(G112+G114+G116+G122+G128+G150+G156+G159+G164+G167+G170+G173+G176+G179+G182+G184)</f>
        <v>308843000</v>
      </c>
      <c r="H185" s="264"/>
      <c r="I185" s="232"/>
      <c r="J185" s="255"/>
      <c r="K185" s="321"/>
      <c r="L185" s="321"/>
      <c r="M185" s="321"/>
      <c r="N185" s="321"/>
      <c r="O185" s="321"/>
      <c r="P185" s="322"/>
      <c r="Q185" s="256"/>
      <c r="R185" s="180">
        <f t="shared" si="129"/>
        <v>0</v>
      </c>
      <c r="S185" s="256"/>
      <c r="T185" s="262"/>
      <c r="U185" s="262"/>
      <c r="V185" s="262"/>
      <c r="W185" s="262"/>
      <c r="X185" s="170"/>
    </row>
    <row r="186" ht="23" customHeight="1" spans="1:24">
      <c r="A186" s="184">
        <v>45</v>
      </c>
      <c r="B186" s="189" t="s">
        <v>1048</v>
      </c>
      <c r="C186" s="1064" t="s">
        <v>1049</v>
      </c>
      <c r="D186" s="192"/>
      <c r="E186" s="193">
        <v>1</v>
      </c>
      <c r="F186" s="194">
        <v>880000</v>
      </c>
      <c r="G186" s="272">
        <f t="shared" ref="G186:G190" si="147">SUM(F186)</f>
        <v>880000</v>
      </c>
      <c r="H186" s="264">
        <v>60</v>
      </c>
      <c r="I186" s="232">
        <f t="shared" ref="I186:I190" si="148">SUM(F186/H186)</f>
        <v>14666.6666666667</v>
      </c>
      <c r="J186" s="268"/>
      <c r="K186" s="315"/>
      <c r="L186" s="315"/>
      <c r="M186" s="315"/>
      <c r="N186" s="315"/>
      <c r="O186" s="315"/>
      <c r="P186" s="317">
        <f t="shared" ref="P186:P190" si="149">SUM(I186)</f>
        <v>14666.6666666667</v>
      </c>
      <c r="Q186" s="317">
        <f t="shared" ref="Q186:Q190" si="150">SUM(I186)</f>
        <v>14666.6666666667</v>
      </c>
      <c r="R186" s="180">
        <f t="shared" si="129"/>
        <v>14666.6666666667</v>
      </c>
      <c r="S186" s="262"/>
      <c r="T186" s="262"/>
      <c r="U186" s="262"/>
      <c r="V186" s="262"/>
      <c r="W186" s="262"/>
      <c r="X186" s="170"/>
    </row>
    <row r="187" ht="23" customHeight="1" spans="1:24">
      <c r="A187" s="184"/>
      <c r="B187" s="189"/>
      <c r="C187" s="191"/>
      <c r="D187" s="192"/>
      <c r="E187" s="193"/>
      <c r="F187" s="194"/>
      <c r="G187" s="198">
        <f>G186</f>
        <v>880000</v>
      </c>
      <c r="H187" s="264"/>
      <c r="I187" s="232"/>
      <c r="J187" s="268"/>
      <c r="K187" s="315"/>
      <c r="L187" s="315"/>
      <c r="M187" s="315"/>
      <c r="N187" s="315"/>
      <c r="O187" s="315"/>
      <c r="P187" s="323"/>
      <c r="Q187" s="262"/>
      <c r="R187" s="180">
        <f t="shared" si="129"/>
        <v>0</v>
      </c>
      <c r="S187" s="262"/>
      <c r="T187" s="262"/>
      <c r="U187" s="262"/>
      <c r="V187" s="262"/>
      <c r="W187" s="262"/>
      <c r="X187" s="170"/>
    </row>
    <row r="188" ht="23" customHeight="1" spans="1:24">
      <c r="A188" s="184">
        <v>46</v>
      </c>
      <c r="B188" s="189" t="s">
        <v>1050</v>
      </c>
      <c r="C188" s="1064" t="s">
        <v>1051</v>
      </c>
      <c r="D188" s="192"/>
      <c r="E188" s="193">
        <v>1</v>
      </c>
      <c r="F188" s="194">
        <v>405000</v>
      </c>
      <c r="G188" s="272">
        <f t="shared" si="147"/>
        <v>405000</v>
      </c>
      <c r="H188" s="264">
        <v>60</v>
      </c>
      <c r="I188" s="232">
        <f t="shared" si="148"/>
        <v>6750</v>
      </c>
      <c r="J188" s="268"/>
      <c r="K188" s="315"/>
      <c r="L188" s="315"/>
      <c r="M188" s="315"/>
      <c r="N188" s="315"/>
      <c r="O188" s="315"/>
      <c r="P188" s="317">
        <f t="shared" si="149"/>
        <v>6750</v>
      </c>
      <c r="Q188" s="317">
        <f t="shared" si="150"/>
        <v>6750</v>
      </c>
      <c r="R188" s="180">
        <f t="shared" si="129"/>
        <v>6750</v>
      </c>
      <c r="S188" s="262"/>
      <c r="T188" s="262"/>
      <c r="U188" s="262"/>
      <c r="V188" s="262"/>
      <c r="W188" s="262"/>
      <c r="X188" s="170"/>
    </row>
    <row r="189" ht="23" customHeight="1" spans="1:24">
      <c r="A189" s="184"/>
      <c r="B189" s="189"/>
      <c r="C189" s="191"/>
      <c r="D189" s="192"/>
      <c r="E189" s="193"/>
      <c r="F189" s="194"/>
      <c r="G189" s="198">
        <f>G188</f>
        <v>405000</v>
      </c>
      <c r="H189" s="264"/>
      <c r="I189" s="232"/>
      <c r="J189" s="268"/>
      <c r="K189" s="315"/>
      <c r="L189" s="315"/>
      <c r="M189" s="315"/>
      <c r="N189" s="315"/>
      <c r="O189" s="315"/>
      <c r="P189" s="323"/>
      <c r="Q189" s="262"/>
      <c r="R189" s="180">
        <f t="shared" si="129"/>
        <v>0</v>
      </c>
      <c r="S189" s="262"/>
      <c r="T189" s="262"/>
      <c r="U189" s="262"/>
      <c r="V189" s="262"/>
      <c r="W189" s="262"/>
      <c r="X189" s="170"/>
    </row>
    <row r="190" ht="23" customHeight="1" spans="1:24">
      <c r="A190" s="184">
        <v>47</v>
      </c>
      <c r="B190" s="189" t="s">
        <v>1052</v>
      </c>
      <c r="C190" s="1064" t="s">
        <v>1053</v>
      </c>
      <c r="D190" s="192"/>
      <c r="E190" s="193">
        <v>1</v>
      </c>
      <c r="F190" s="194">
        <v>480000</v>
      </c>
      <c r="G190" s="272">
        <f t="shared" si="147"/>
        <v>480000</v>
      </c>
      <c r="H190" s="264">
        <v>60</v>
      </c>
      <c r="I190" s="232">
        <f t="shared" si="148"/>
        <v>8000</v>
      </c>
      <c r="J190" s="268"/>
      <c r="K190" s="315"/>
      <c r="L190" s="315"/>
      <c r="M190" s="315"/>
      <c r="N190" s="315"/>
      <c r="O190" s="315"/>
      <c r="P190" s="317">
        <f t="shared" si="149"/>
        <v>8000</v>
      </c>
      <c r="Q190" s="317">
        <f t="shared" si="150"/>
        <v>8000</v>
      </c>
      <c r="R190" s="180">
        <f t="shared" si="129"/>
        <v>8000</v>
      </c>
      <c r="S190" s="262"/>
      <c r="T190" s="262"/>
      <c r="U190" s="262"/>
      <c r="V190" s="262"/>
      <c r="W190" s="262"/>
      <c r="X190" s="170"/>
    </row>
    <row r="191" ht="23" customHeight="1" spans="1:24">
      <c r="A191" s="184"/>
      <c r="B191" s="189"/>
      <c r="C191" s="191"/>
      <c r="D191" s="192"/>
      <c r="E191" s="193"/>
      <c r="F191" s="194"/>
      <c r="G191" s="198">
        <f>SUM(G190:G190)</f>
        <v>480000</v>
      </c>
      <c r="H191" s="264"/>
      <c r="I191" s="232"/>
      <c r="J191" s="268"/>
      <c r="K191" s="315"/>
      <c r="L191" s="315"/>
      <c r="M191" s="315"/>
      <c r="N191" s="315"/>
      <c r="O191" s="315"/>
      <c r="P191" s="323">
        <f>SUM(P139:P190)</f>
        <v>426050</v>
      </c>
      <c r="Q191" s="323">
        <f>SUM(Q139:Q190)</f>
        <v>295216.666666667</v>
      </c>
      <c r="R191" s="324">
        <f>SUM(R152:R190)</f>
        <v>295216.666666667</v>
      </c>
      <c r="S191" s="262"/>
      <c r="T191" s="262"/>
      <c r="U191" s="262"/>
      <c r="V191" s="262"/>
      <c r="W191" s="262"/>
      <c r="X191" s="170"/>
    </row>
    <row r="192" ht="23" customHeight="1" spans="1:24">
      <c r="A192" s="184"/>
      <c r="B192" s="189"/>
      <c r="C192" s="191"/>
      <c r="D192" s="192"/>
      <c r="E192" s="193"/>
      <c r="F192" s="194"/>
      <c r="G192" s="198"/>
      <c r="H192" s="264"/>
      <c r="I192" s="232"/>
      <c r="J192" s="268"/>
      <c r="K192" s="315"/>
      <c r="L192" s="315"/>
      <c r="M192" s="315"/>
      <c r="N192" s="315"/>
      <c r="O192" s="315"/>
      <c r="P192" s="323"/>
      <c r="Q192" s="262"/>
      <c r="R192" s="262"/>
      <c r="S192" s="262"/>
      <c r="T192" s="262"/>
      <c r="U192" s="262"/>
      <c r="V192" s="262"/>
      <c r="W192" s="262"/>
      <c r="X192" s="170"/>
    </row>
    <row r="193" ht="23" customHeight="1" spans="1:24 16384:16384">
      <c r="A193" s="184"/>
      <c r="B193" s="189"/>
      <c r="C193" s="191"/>
      <c r="D193" s="192"/>
      <c r="E193" s="193"/>
      <c r="F193" s="194"/>
      <c r="G193" s="203">
        <f>SUM(G112+G114+G116+G122+G128+G150+G156+G159+G164+G167+G170+G173+G176+G179+G182+G184+G187+G189+G191)</f>
        <v>310608000</v>
      </c>
      <c r="H193" s="264"/>
      <c r="I193" s="232"/>
      <c r="J193" s="268"/>
      <c r="K193" s="315"/>
      <c r="L193" s="315"/>
      <c r="M193" s="315"/>
      <c r="N193" s="315"/>
      <c r="O193" s="315"/>
      <c r="P193" s="262"/>
      <c r="Q193" s="262"/>
      <c r="R193" s="262"/>
      <c r="S193" s="262"/>
      <c r="T193" s="262"/>
      <c r="U193" s="262"/>
      <c r="V193" s="262"/>
      <c r="W193" s="262"/>
      <c r="X193" s="170"/>
    </row>
    <row r="194" ht="23" customHeight="1" spans="1:24 16384:16384">
      <c r="A194" s="170"/>
      <c r="B194" s="325"/>
      <c r="C194" s="277"/>
      <c r="D194" s="170"/>
      <c r="E194" s="170"/>
      <c r="F194" s="170"/>
      <c r="G194" s="278"/>
      <c r="H194" s="170"/>
      <c r="I194" s="170"/>
      <c r="J194" s="279"/>
      <c r="K194" s="279">
        <f t="shared" ref="K194:N194" si="151">SUM(K112+K114+K116+K122+K129+K176)</f>
        <v>4281633.33333333</v>
      </c>
      <c r="L194" s="279">
        <f t="shared" si="151"/>
        <v>4281633.33333333</v>
      </c>
      <c r="M194" s="279">
        <f t="shared" si="151"/>
        <v>4281633.33333333</v>
      </c>
      <c r="N194" s="279">
        <f t="shared" si="151"/>
        <v>4281633.33333333</v>
      </c>
      <c r="O194" s="279">
        <f>SUM(O112+O114+O116+O122+O129+O184)</f>
        <v>4361633.33333333</v>
      </c>
      <c r="P194" s="279">
        <f>SUM(P112+P114+P116+P122+P129+P191)</f>
        <v>4391050</v>
      </c>
      <c r="Q194" s="279">
        <f>SUM(Q112+Q114+Q116+Q122+Q129+Q191)</f>
        <v>4260216.66666667</v>
      </c>
      <c r="R194" s="279">
        <f>SUM(R112+R122+R129+R191+R114+R116)</f>
        <v>4210216.66666667</v>
      </c>
      <c r="S194" s="279"/>
      <c r="T194" s="278"/>
      <c r="U194" s="278"/>
      <c r="V194" s="280"/>
      <c r="W194" s="276"/>
      <c r="X194" s="278"/>
      <c r="XFD194">
        <f>SUM(A194:XFC194)</f>
        <v>34349650</v>
      </c>
    </row>
    <row r="195" ht="23" customHeight="1" spans="1:24 16384:16384">
      <c r="A195" s="170"/>
      <c r="B195" s="325"/>
      <c r="C195" s="277"/>
      <c r="D195" s="170"/>
      <c r="E195" s="170"/>
      <c r="F195" s="170"/>
      <c r="G195" s="170"/>
      <c r="H195" s="281" t="s">
        <v>1036</v>
      </c>
      <c r="I195" s="282"/>
      <c r="J195" s="170"/>
      <c r="K195" s="283">
        <f>SUM(V90+K194)</f>
        <v>32978766.5</v>
      </c>
      <c r="L195" s="283">
        <f>SUM(V90+K194+L194)</f>
        <v>37260399.8333334</v>
      </c>
      <c r="M195" s="283">
        <f>SUM(V90+K194+L194+M194)</f>
        <v>41542033.1666667</v>
      </c>
      <c r="N195" s="283">
        <f>SUM(K194+L194+M194+N194+J194)</f>
        <v>17126533.3333333</v>
      </c>
      <c r="O195" s="283">
        <f>SUM(L194+M194+N194+O194+J194+K194)</f>
        <v>21488166.6666667</v>
      </c>
      <c r="P195" s="283">
        <f>SUM(V90+M194+N194+O194+P194+K194+L194)</f>
        <v>54576349.8333334</v>
      </c>
      <c r="Q195" s="283">
        <f>SUM(W90+N194+O194+P194+Q194+L194+M194+K194+V90)</f>
        <v>58836566.5</v>
      </c>
      <c r="R195" s="283">
        <f>SUM(O194+P194+Q194+R194+M194+N194+K194+L194+V90)</f>
        <v>63046783.1666667</v>
      </c>
      <c r="S195" s="283"/>
      <c r="T195" s="283"/>
      <c r="U195" s="283"/>
      <c r="V195" s="283"/>
      <c r="W195" s="284"/>
      <c r="X195" s="170"/>
    </row>
    <row r="196" ht="23" customHeight="1" spans="1:24 16384:16384">
      <c r="A196" s="170"/>
      <c r="D196" s="170"/>
      <c r="E196" s="170"/>
      <c r="F196" s="170"/>
      <c r="G196" s="170"/>
      <c r="H196" s="281" t="s">
        <v>51</v>
      </c>
      <c r="I196" s="282"/>
      <c r="J196" s="188"/>
      <c r="K196" s="278">
        <f>SUM(G177-K195)</f>
        <v>271064233.5</v>
      </c>
      <c r="L196" s="278">
        <f>SUM(G177-L195)</f>
        <v>266782600.166667</v>
      </c>
      <c r="M196" s="278">
        <f>SUM(G177-M195)</f>
        <v>262500966.833333</v>
      </c>
      <c r="N196" s="278">
        <f>SUM(G180-N195)</f>
        <v>291016466.666667</v>
      </c>
      <c r="O196" s="278">
        <f>SUM(G185-O195)</f>
        <v>287354833.333333</v>
      </c>
      <c r="P196" s="275">
        <f>SUM(G193-P195)</f>
        <v>256031650.166667</v>
      </c>
      <c r="Q196" s="275">
        <f>SUM(G193-Q195)</f>
        <v>251771433.5</v>
      </c>
      <c r="R196" s="278">
        <f>SUM(G193-R195)</f>
        <v>247561216.833333</v>
      </c>
      <c r="S196" s="278"/>
      <c r="T196" s="278"/>
      <c r="U196" s="278"/>
      <c r="V196" s="278"/>
      <c r="W196" s="276"/>
      <c r="X196" s="170"/>
    </row>
    <row r="198" spans="1:24 16384:16384">
      <c r="G198" s="300">
        <v>4166480</v>
      </c>
    </row>
    <row r="199" spans="1:24 16384:16384">
      <c r="G199" s="300">
        <v>250000</v>
      </c>
    </row>
    <row r="200" spans="1:24 16384:16384">
      <c r="G200" s="300">
        <f>SUM(G198:G199)</f>
        <v>4416480</v>
      </c>
    </row>
  </sheetData>
  <mergeCells count="55">
    <mergeCell ref="A1:R1"/>
    <mergeCell ref="A2:R2"/>
    <mergeCell ref="A3:R3"/>
    <mergeCell ref="K9:V9"/>
    <mergeCell ref="H57:W57"/>
    <mergeCell ref="J68:W68"/>
    <mergeCell ref="J76:W76"/>
    <mergeCell ref="H90:I90"/>
    <mergeCell ref="H91:I91"/>
    <mergeCell ref="A100:V100"/>
    <mergeCell ref="A101:V101"/>
    <mergeCell ref="K103:V103"/>
    <mergeCell ref="R119:V119"/>
    <mergeCell ref="Q120:V120"/>
    <mergeCell ref="Q121:V121"/>
    <mergeCell ref="S128:V128"/>
    <mergeCell ref="Q139:V139"/>
    <mergeCell ref="Q140:V140"/>
    <mergeCell ref="Q141:V141"/>
    <mergeCell ref="Q142:V142"/>
    <mergeCell ref="Q143:V143"/>
    <mergeCell ref="Q144:V144"/>
    <mergeCell ref="Q145:V145"/>
    <mergeCell ref="Q146:V146"/>
    <mergeCell ref="Q147:V147"/>
    <mergeCell ref="Q148:V148"/>
    <mergeCell ref="Q149:V149"/>
    <mergeCell ref="H195:I195"/>
    <mergeCell ref="H196:I196"/>
    <mergeCell ref="A9:A10"/>
    <mergeCell ref="A103:A104"/>
    <mergeCell ref="B9:B10"/>
    <mergeCell ref="B103:B104"/>
    <mergeCell ref="C9:C10"/>
    <mergeCell ref="C103:C104"/>
    <mergeCell ref="D9:D10"/>
    <mergeCell ref="D103:D104"/>
    <mergeCell ref="E9:E10"/>
    <mergeCell ref="E103:E104"/>
    <mergeCell ref="F9:F10"/>
    <mergeCell ref="F103:F104"/>
    <mergeCell ref="G9:G10"/>
    <mergeCell ref="G103:G104"/>
    <mergeCell ref="H9:H10"/>
    <mergeCell ref="H103:H104"/>
    <mergeCell ref="I9:I10"/>
    <mergeCell ref="I103:I104"/>
    <mergeCell ref="J9:J10"/>
    <mergeCell ref="J103:J104"/>
    <mergeCell ref="W9:W10"/>
    <mergeCell ref="W103:W104"/>
    <mergeCell ref="X9:X10"/>
    <mergeCell ref="X103:X104"/>
    <mergeCell ref="Y9:Y10"/>
    <mergeCell ref="J78:V79"/>
  </mergeCells>
  <pageMargins left="0.25" right="0.25" top="0.75" bottom="0.832638888888889" header="0.3" footer="0.3"/>
  <pageSetup paperSize="5" scale="55" orientation="landscape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zoomScalePageLayoutView="60" topLeftCell="A5" workbookViewId="0">
      <selection activeCell="I12" sqref="I12"/>
    </sheetView>
  </sheetViews>
  <sheetFormatPr defaultColWidth="8.72727272727273" defaultRowHeight="14.5"/>
  <cols>
    <col min="1" max="1" width="6.09090909090909" style="7" customWidth="1"/>
    <col min="2" max="2" width="23.8181818181818" style="7" customWidth="1"/>
    <col min="3" max="3" width="12" style="7" customWidth="1"/>
    <col min="4" max="4" width="8.72727272727273" style="7"/>
    <col min="5" max="5" width="10.9090909090909" style="7" customWidth="1"/>
    <col min="6" max="6" width="13.4818181818182" style="7" customWidth="1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96" t="s">
        <v>0</v>
      </c>
      <c r="B1" s="96"/>
      <c r="C1" s="96"/>
      <c r="D1" s="96"/>
      <c r="E1" s="96"/>
      <c r="F1" s="96"/>
      <c r="G1" s="96"/>
    </row>
    <row r="2" spans="1:12">
      <c r="A2" s="97" t="s">
        <v>1054</v>
      </c>
      <c r="B2" s="97"/>
      <c r="C2" s="97"/>
      <c r="D2" s="97"/>
      <c r="E2" s="97"/>
      <c r="F2" s="97"/>
      <c r="G2" s="97"/>
    </row>
    <row r="3" spans="1:12">
      <c r="A3" s="98" t="s">
        <v>204</v>
      </c>
      <c r="B3" s="98"/>
      <c r="C3" s="98"/>
      <c r="D3" s="6" t="s">
        <v>122</v>
      </c>
      <c r="E3" s="6"/>
      <c r="F3" s="6"/>
    </row>
    <row r="4" spans="1:12">
      <c r="A4" s="98" t="s">
        <v>123</v>
      </c>
      <c r="B4" s="98"/>
      <c r="C4" s="98"/>
      <c r="D4" s="6" t="s">
        <v>124</v>
      </c>
    </row>
    <row r="5" spans="1:12">
      <c r="A5" s="98" t="s">
        <v>125</v>
      </c>
      <c r="B5" s="98"/>
      <c r="C5" s="98"/>
      <c r="D5" s="6" t="s">
        <v>126</v>
      </c>
      <c r="L5" s="99"/>
    </row>
    <row r="6" ht="29" spans="1:12">
      <c r="A6" s="100" t="s">
        <v>803</v>
      </c>
      <c r="B6" s="100" t="s">
        <v>816</v>
      </c>
      <c r="C6" s="100" t="s">
        <v>1055</v>
      </c>
      <c r="D6" s="101" t="s">
        <v>817</v>
      </c>
      <c r="E6" s="101" t="s">
        <v>818</v>
      </c>
      <c r="F6" s="101" t="s">
        <v>819</v>
      </c>
      <c r="G6" s="100" t="s">
        <v>820</v>
      </c>
    </row>
    <row r="7" ht="28" customHeight="1" spans="1:12">
      <c r="A7" s="102">
        <v>1</v>
      </c>
      <c r="B7" s="75" t="s">
        <v>1056</v>
      </c>
      <c r="C7" s="1067" t="s">
        <v>1057</v>
      </c>
      <c r="D7" s="76">
        <v>1</v>
      </c>
      <c r="E7" s="76" t="s">
        <v>822</v>
      </c>
      <c r="F7" s="77">
        <v>600000</v>
      </c>
      <c r="G7" s="78">
        <f t="shared" ref="G7:G15" si="0">F7*D7</f>
        <v>600000</v>
      </c>
      <c r="I7" s="107" t="e">
        <f>G7+#REF!+#REF!</f>
        <v>#REF!</v>
      </c>
      <c r="L7" s="117">
        <f>'[47]titik satu'!G31</f>
        <v>7885500</v>
      </c>
    </row>
    <row r="8" ht="28" customHeight="1" spans="1:12">
      <c r="A8" s="102">
        <v>2</v>
      </c>
      <c r="B8" s="125" t="s">
        <v>1058</v>
      </c>
      <c r="C8" s="1068" t="s">
        <v>1059</v>
      </c>
      <c r="D8" s="88">
        <v>4</v>
      </c>
      <c r="E8" s="88" t="s">
        <v>1060</v>
      </c>
      <c r="F8" s="106">
        <v>160000</v>
      </c>
      <c r="G8" s="78">
        <f t="shared" si="0"/>
        <v>640000</v>
      </c>
      <c r="I8" s="107">
        <f>G8+G9+G10+G11+I9+G12+G13+G14</f>
        <v>1319000</v>
      </c>
      <c r="L8" s="117">
        <f>SUM('[47]titik ketiga'!G20)</f>
        <v>5607500</v>
      </c>
    </row>
    <row r="9" ht="28" customHeight="1" spans="1:12">
      <c r="A9" s="102">
        <v>3</v>
      </c>
      <c r="B9" s="125" t="s">
        <v>1061</v>
      </c>
      <c r="C9" s="1068" t="s">
        <v>1059</v>
      </c>
      <c r="D9" s="88">
        <v>6</v>
      </c>
      <c r="E9" s="88" t="s">
        <v>1060</v>
      </c>
      <c r="F9" s="106">
        <v>85000</v>
      </c>
      <c r="G9" s="78">
        <f t="shared" si="0"/>
        <v>510000</v>
      </c>
      <c r="L9" s="117">
        <f>SUM('[47]titik kelima'!G20)</f>
        <v>5507000</v>
      </c>
    </row>
    <row r="10" ht="28" customHeight="1" spans="1:12">
      <c r="A10" s="102">
        <v>4</v>
      </c>
      <c r="B10" s="125" t="s">
        <v>1062</v>
      </c>
      <c r="C10" s="1069" t="s">
        <v>1059</v>
      </c>
      <c r="D10" s="91">
        <v>2</v>
      </c>
      <c r="E10" s="108" t="s">
        <v>1063</v>
      </c>
      <c r="F10" s="108">
        <v>17000</v>
      </c>
      <c r="G10" s="78">
        <f t="shared" si="0"/>
        <v>34000</v>
      </c>
      <c r="J10" s="7" t="s">
        <v>1064</v>
      </c>
      <c r="L10" s="117" t="e">
        <f>SUM(#REF!)</f>
        <v>#REF!</v>
      </c>
    </row>
    <row r="11" ht="28" customHeight="1" spans="1:12">
      <c r="A11" s="102">
        <v>5</v>
      </c>
      <c r="B11" s="125" t="s">
        <v>1065</v>
      </c>
      <c r="C11" s="1069" t="s">
        <v>1059</v>
      </c>
      <c r="D11" s="91">
        <v>1</v>
      </c>
      <c r="E11" s="108" t="s">
        <v>1066</v>
      </c>
      <c r="F11" s="108">
        <v>62000</v>
      </c>
      <c r="G11" s="78">
        <f t="shared" si="0"/>
        <v>62000</v>
      </c>
      <c r="J11" s="7" t="s">
        <v>1067</v>
      </c>
      <c r="L11" s="135">
        <f>SUM('[47] LOMPO E'!G16)</f>
        <v>39425000</v>
      </c>
    </row>
    <row r="12" ht="28" customHeight="1" spans="1:12">
      <c r="A12" s="102">
        <v>6</v>
      </c>
      <c r="B12" s="125" t="s">
        <v>1068</v>
      </c>
      <c r="C12" s="1069" t="s">
        <v>1059</v>
      </c>
      <c r="D12" s="91">
        <v>1</v>
      </c>
      <c r="E12" s="108" t="s">
        <v>1069</v>
      </c>
      <c r="F12" s="108">
        <v>25000</v>
      </c>
      <c r="G12" s="78">
        <f t="shared" si="0"/>
        <v>25000</v>
      </c>
      <c r="L12" s="117" t="e">
        <f>SUM(L7:L11)</f>
        <v>#REF!</v>
      </c>
    </row>
    <row r="13" ht="28" customHeight="1" spans="1:12">
      <c r="A13" s="102">
        <v>7</v>
      </c>
      <c r="B13" s="125" t="s">
        <v>1070</v>
      </c>
      <c r="C13" s="1069" t="s">
        <v>1059</v>
      </c>
      <c r="D13" s="91">
        <v>1</v>
      </c>
      <c r="E13" s="108" t="s">
        <v>1069</v>
      </c>
      <c r="F13" s="108">
        <v>10000</v>
      </c>
      <c r="G13" s="78">
        <f t="shared" si="0"/>
        <v>10000</v>
      </c>
      <c r="I13" s="107">
        <f>SUM(G8:G14)</f>
        <v>1319000</v>
      </c>
      <c r="L13" s="117"/>
    </row>
    <row r="14" ht="28" customHeight="1" spans="1:12">
      <c r="A14" s="102">
        <v>8</v>
      </c>
      <c r="B14" s="125" t="s">
        <v>1071</v>
      </c>
      <c r="C14" s="1069" t="s">
        <v>1059</v>
      </c>
      <c r="D14" s="91">
        <v>1</v>
      </c>
      <c r="E14" s="108" t="s">
        <v>1069</v>
      </c>
      <c r="F14" s="108">
        <v>38000</v>
      </c>
      <c r="G14" s="78">
        <f t="shared" si="0"/>
        <v>38000</v>
      </c>
      <c r="L14" s="117">
        <f>'[47]titik satu'!G40</f>
        <v>0</v>
      </c>
    </row>
    <row r="15" ht="28" customHeight="1" spans="1:12">
      <c r="A15" s="102">
        <v>11</v>
      </c>
      <c r="B15" s="125" t="s">
        <v>1072</v>
      </c>
      <c r="C15" s="1069" t="s">
        <v>1059</v>
      </c>
      <c r="D15" s="91">
        <v>1</v>
      </c>
      <c r="E15" s="108" t="s">
        <v>1073</v>
      </c>
      <c r="F15" s="108">
        <v>6300000</v>
      </c>
      <c r="G15" s="78">
        <f t="shared" si="0"/>
        <v>6300000</v>
      </c>
      <c r="I15" s="107"/>
      <c r="L15" s="117"/>
    </row>
    <row r="16" ht="28" customHeight="1" spans="1:12">
      <c r="A16" s="93"/>
      <c r="B16" s="109" t="s">
        <v>111</v>
      </c>
      <c r="C16" s="109"/>
      <c r="D16" s="110"/>
      <c r="E16" s="109"/>
      <c r="F16" s="109"/>
      <c r="G16" s="111">
        <f>SUM(G7:G15)</f>
        <v>8219000</v>
      </c>
      <c r="H16" s="137">
        <v>410500</v>
      </c>
      <c r="I16" s="107"/>
      <c r="J16" s="107"/>
    </row>
    <row r="17" spans="1:7">
      <c r="A17" s="112" t="s">
        <v>113</v>
      </c>
      <c r="B17" s="112"/>
      <c r="C17" s="112"/>
      <c r="D17" s="112"/>
      <c r="E17" s="112"/>
      <c r="F17" s="112"/>
      <c r="G17" s="112"/>
    </row>
    <row r="18" spans="1:7">
      <c r="A18" s="6" t="s">
        <v>829</v>
      </c>
      <c r="B18" s="6"/>
      <c r="C18" s="6"/>
      <c r="D18" s="6"/>
      <c r="E18" s="6"/>
      <c r="F18" s="6"/>
      <c r="G18" s="6"/>
    </row>
    <row r="19" spans="1:7">
      <c r="B19" s="6"/>
      <c r="C19" s="6"/>
      <c r="G19" s="113"/>
    </row>
    <row r="20" spans="1:7">
      <c r="B20" s="113"/>
      <c r="C20" s="113"/>
      <c r="E20" s="113" t="s">
        <v>830</v>
      </c>
      <c r="F20" s="113"/>
      <c r="G20" s="113"/>
    </row>
    <row r="21" spans="1:7">
      <c r="B21" s="113" t="s">
        <v>115</v>
      </c>
      <c r="C21" s="113"/>
      <c r="E21" s="113" t="s">
        <v>639</v>
      </c>
      <c r="F21" s="113"/>
      <c r="G21" s="113"/>
    </row>
    <row r="24" spans="1:7">
      <c r="F24" s="114"/>
    </row>
    <row r="25" spans="1:7">
      <c r="B25" s="115" t="s">
        <v>117</v>
      </c>
      <c r="C25" s="115"/>
      <c r="D25" s="116"/>
      <c r="E25" s="115" t="s">
        <v>118</v>
      </c>
      <c r="F25" s="115"/>
      <c r="G25" s="115"/>
    </row>
    <row r="26" spans="1:7">
      <c r="E26" s="113"/>
      <c r="F26" s="6"/>
    </row>
    <row r="27" spans="1:7">
      <c r="A27" s="6"/>
      <c r="F27" s="117"/>
    </row>
    <row r="28" spans="1:7">
      <c r="A28" s="6"/>
    </row>
  </sheetData>
  <mergeCells count="11">
    <mergeCell ref="A1:G1"/>
    <mergeCell ref="A2:G2"/>
    <mergeCell ref="A3:B3"/>
    <mergeCell ref="D3:F3"/>
    <mergeCell ref="A4:B4"/>
    <mergeCell ref="A5:B5"/>
    <mergeCell ref="A17:G17"/>
    <mergeCell ref="A18:G18"/>
    <mergeCell ref="E20:G20"/>
    <mergeCell ref="E21:G21"/>
    <mergeCell ref="E25:G25"/>
  </mergeCells>
  <pageMargins left="0.395833333333333" right="0.75" top="0.402777777777778" bottom="1" header="0.5" footer="0.5"/>
  <pageSetup paperSize="1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opLeftCell="A8" workbookViewId="0">
      <selection activeCell="I15" sqref="I15"/>
    </sheetView>
  </sheetViews>
  <sheetFormatPr defaultColWidth="8.72727272727273" defaultRowHeight="14.5"/>
  <cols>
    <col min="1" max="1" width="6.09090909090909" style="7" customWidth="1"/>
    <col min="2" max="2" width="23.8181818181818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96" t="s">
        <v>0</v>
      </c>
      <c r="B1" s="96"/>
      <c r="C1" s="96"/>
      <c r="D1" s="96"/>
      <c r="E1" s="96"/>
      <c r="F1" s="96"/>
      <c r="G1" s="96"/>
    </row>
    <row r="2" spans="1:12">
      <c r="A2" s="97" t="s">
        <v>1074</v>
      </c>
      <c r="B2" s="97"/>
      <c r="C2" s="97"/>
      <c r="D2" s="97"/>
      <c r="E2" s="97"/>
      <c r="F2" s="97"/>
      <c r="G2" s="97"/>
    </row>
    <row r="3" spans="1:12">
      <c r="A3" s="98" t="s">
        <v>204</v>
      </c>
      <c r="B3" s="98"/>
      <c r="C3" s="98"/>
      <c r="D3" s="6" t="s">
        <v>122</v>
      </c>
      <c r="E3" s="6"/>
      <c r="F3" s="6"/>
    </row>
    <row r="4" spans="1:12">
      <c r="A4" s="98" t="s">
        <v>123</v>
      </c>
      <c r="B4" s="98"/>
      <c r="C4" s="98"/>
      <c r="D4" s="6" t="s">
        <v>124</v>
      </c>
    </row>
    <row r="5" spans="1:12">
      <c r="A5" s="98" t="s">
        <v>125</v>
      </c>
      <c r="B5" s="98"/>
      <c r="C5" s="98"/>
      <c r="D5" s="6" t="s">
        <v>126</v>
      </c>
      <c r="L5" s="99"/>
    </row>
    <row r="6" ht="29" spans="1:12">
      <c r="A6" s="100" t="s">
        <v>803</v>
      </c>
      <c r="B6" s="100" t="s">
        <v>816</v>
      </c>
      <c r="C6" s="100" t="s">
        <v>1055</v>
      </c>
      <c r="D6" s="101" t="s">
        <v>817</v>
      </c>
      <c r="E6" s="101" t="s">
        <v>818</v>
      </c>
      <c r="F6" s="101" t="s">
        <v>819</v>
      </c>
      <c r="G6" s="100" t="s">
        <v>820</v>
      </c>
    </row>
    <row r="7" spans="1:12">
      <c r="A7" s="118"/>
      <c r="B7" s="118"/>
      <c r="C7" s="118"/>
      <c r="D7" s="119"/>
      <c r="E7" s="119"/>
      <c r="F7" s="119"/>
      <c r="G7" s="120"/>
    </row>
    <row r="8" ht="22" customHeight="1" spans="1:12">
      <c r="A8" s="102">
        <v>1</v>
      </c>
      <c r="B8" s="125" t="s">
        <v>1058</v>
      </c>
      <c r="C8" s="1068" t="s">
        <v>1059</v>
      </c>
      <c r="D8" s="88">
        <v>4</v>
      </c>
      <c r="E8" s="88" t="s">
        <v>1060</v>
      </c>
      <c r="F8" s="106">
        <v>160000</v>
      </c>
      <c r="G8" s="78">
        <f t="shared" ref="G8:G18" si="0">F8*D8</f>
        <v>640000</v>
      </c>
      <c r="I8" s="107">
        <f>SUM(G8:G13)</f>
        <v>1257000</v>
      </c>
      <c r="L8" s="117">
        <f>'[47]titik satu'!G31</f>
        <v>7885500</v>
      </c>
    </row>
    <row r="9" ht="22" customHeight="1" spans="1:12">
      <c r="A9" s="102">
        <v>2</v>
      </c>
      <c r="B9" s="125" t="s">
        <v>1061</v>
      </c>
      <c r="C9" s="1068" t="s">
        <v>1059</v>
      </c>
      <c r="D9" s="88">
        <v>6</v>
      </c>
      <c r="E9" s="88" t="s">
        <v>1060</v>
      </c>
      <c r="F9" s="106">
        <v>85000</v>
      </c>
      <c r="G9" s="78">
        <f t="shared" si="0"/>
        <v>510000</v>
      </c>
      <c r="L9" s="117">
        <f>SUM('[47]titik ketiga'!G20)</f>
        <v>5607500</v>
      </c>
    </row>
    <row r="10" ht="22" customHeight="1" spans="1:12">
      <c r="A10" s="102">
        <v>3</v>
      </c>
      <c r="B10" s="125" t="s">
        <v>1062</v>
      </c>
      <c r="C10" s="1069" t="s">
        <v>1059</v>
      </c>
      <c r="D10" s="91">
        <v>2</v>
      </c>
      <c r="E10" s="108" t="s">
        <v>1063</v>
      </c>
      <c r="F10" s="108">
        <v>17000</v>
      </c>
      <c r="G10" s="78">
        <f t="shared" si="0"/>
        <v>34000</v>
      </c>
      <c r="L10" s="117">
        <f>SUM('[47]titik kelima'!G20)</f>
        <v>5507000</v>
      </c>
    </row>
    <row r="11" ht="22" customHeight="1" spans="1:12">
      <c r="A11" s="102">
        <v>4</v>
      </c>
      <c r="B11" s="87" t="s">
        <v>1068</v>
      </c>
      <c r="C11" s="1068" t="s">
        <v>1059</v>
      </c>
      <c r="D11" s="88">
        <v>1</v>
      </c>
      <c r="E11" s="88" t="s">
        <v>1069</v>
      </c>
      <c r="F11" s="108">
        <v>25000</v>
      </c>
      <c r="G11" s="78">
        <f t="shared" si="0"/>
        <v>25000</v>
      </c>
      <c r="J11" s="7" t="s">
        <v>1064</v>
      </c>
      <c r="L11" s="117" t="e">
        <f>SUM(#REF!)</f>
        <v>#REF!</v>
      </c>
    </row>
    <row r="12" ht="22" customHeight="1" spans="1:12">
      <c r="A12" s="102">
        <v>5</v>
      </c>
      <c r="B12" s="40" t="s">
        <v>1070</v>
      </c>
      <c r="C12" s="1069" t="s">
        <v>1059</v>
      </c>
      <c r="D12" s="91">
        <v>1</v>
      </c>
      <c r="E12" s="108" t="s">
        <v>1069</v>
      </c>
      <c r="F12" s="108">
        <v>10000</v>
      </c>
      <c r="G12" s="78">
        <f t="shared" si="0"/>
        <v>10000</v>
      </c>
      <c r="J12" s="7" t="s">
        <v>1067</v>
      </c>
      <c r="L12" s="135">
        <f>SUM('[47] LOMPO E'!G16)</f>
        <v>39425000</v>
      </c>
    </row>
    <row r="13" ht="22" customHeight="1" spans="1:12">
      <c r="A13" s="102">
        <v>6</v>
      </c>
      <c r="B13" s="87" t="s">
        <v>1071</v>
      </c>
      <c r="C13" s="1068" t="s">
        <v>1059</v>
      </c>
      <c r="D13" s="88">
        <v>1</v>
      </c>
      <c r="E13" s="88" t="s">
        <v>1069</v>
      </c>
      <c r="F13" s="87">
        <v>38000</v>
      </c>
      <c r="G13" s="78">
        <f t="shared" si="0"/>
        <v>38000</v>
      </c>
      <c r="L13" s="117" t="e">
        <f>SUM(L8:L12)</f>
        <v>#REF!</v>
      </c>
    </row>
    <row r="14" ht="22" customHeight="1" spans="1:12">
      <c r="A14" s="102">
        <v>7</v>
      </c>
      <c r="B14" s="75" t="s">
        <v>1075</v>
      </c>
      <c r="C14" s="1067" t="s">
        <v>1076</v>
      </c>
      <c r="D14" s="76">
        <v>1</v>
      </c>
      <c r="E14" s="76" t="s">
        <v>1073</v>
      </c>
      <c r="F14" s="77">
        <v>4200000</v>
      </c>
      <c r="G14" s="78">
        <f t="shared" si="0"/>
        <v>4200000</v>
      </c>
      <c r="J14" s="7" t="s">
        <v>1064</v>
      </c>
      <c r="L14" s="117" t="e">
        <f>SUM(#REF!)</f>
        <v>#REF!</v>
      </c>
    </row>
    <row r="15" ht="22" customHeight="1" spans="1:12">
      <c r="A15" s="102">
        <v>8</v>
      </c>
      <c r="B15" s="87" t="s">
        <v>1077</v>
      </c>
      <c r="C15" s="1068" t="s">
        <v>1076</v>
      </c>
      <c r="D15" s="88">
        <v>1</v>
      </c>
      <c r="E15" s="88" t="s">
        <v>1073</v>
      </c>
      <c r="F15" s="106">
        <v>1250000</v>
      </c>
      <c r="G15" s="78">
        <f t="shared" si="0"/>
        <v>1250000</v>
      </c>
      <c r="I15" s="107"/>
      <c r="J15" s="7" t="s">
        <v>1067</v>
      </c>
      <c r="L15" s="135">
        <f>SUM('[47] LOMPO E'!G25)</f>
        <v>0</v>
      </c>
    </row>
    <row r="16" ht="22" customHeight="1" spans="1:12">
      <c r="A16" s="102">
        <v>9</v>
      </c>
      <c r="B16" s="87" t="s">
        <v>1078</v>
      </c>
      <c r="C16" s="1068" t="s">
        <v>1076</v>
      </c>
      <c r="D16" s="88">
        <v>3</v>
      </c>
      <c r="E16" s="88" t="s">
        <v>1079</v>
      </c>
      <c r="F16" s="106">
        <v>75000</v>
      </c>
      <c r="G16" s="78">
        <f t="shared" si="0"/>
        <v>225000</v>
      </c>
      <c r="L16" s="117" t="e">
        <f>SUM(L14:L15)</f>
        <v>#REF!</v>
      </c>
    </row>
    <row r="17" ht="22" customHeight="1" spans="1:10">
      <c r="A17" s="102">
        <v>10</v>
      </c>
      <c r="B17" s="40" t="s">
        <v>1080</v>
      </c>
      <c r="C17" s="1069" t="s">
        <v>1076</v>
      </c>
      <c r="D17" s="91">
        <v>1</v>
      </c>
      <c r="E17" s="108" t="s">
        <v>1063</v>
      </c>
      <c r="F17" s="108">
        <v>700000</v>
      </c>
      <c r="G17" s="78">
        <f t="shared" si="0"/>
        <v>700000</v>
      </c>
      <c r="I17" s="107"/>
    </row>
    <row r="18" ht="22" customHeight="1" spans="1:10">
      <c r="A18" s="102">
        <v>11</v>
      </c>
      <c r="B18" s="40" t="s">
        <v>1056</v>
      </c>
      <c r="C18" s="1069" t="s">
        <v>1076</v>
      </c>
      <c r="D18" s="91">
        <v>1</v>
      </c>
      <c r="E18" s="108" t="s">
        <v>822</v>
      </c>
      <c r="F18" s="108">
        <v>600000</v>
      </c>
      <c r="G18" s="78">
        <f t="shared" si="0"/>
        <v>600000</v>
      </c>
    </row>
    <row r="19" ht="21" customHeight="1" spans="1:10">
      <c r="A19" s="93"/>
      <c r="B19" s="109" t="s">
        <v>111</v>
      </c>
      <c r="C19" s="109"/>
      <c r="D19" s="110"/>
      <c r="E19" s="109"/>
      <c r="F19" s="109"/>
      <c r="G19" s="111">
        <f>SUM(G8:G18)</f>
        <v>8232000</v>
      </c>
      <c r="H19" s="137">
        <v>410500</v>
      </c>
      <c r="I19" s="107"/>
      <c r="J19" s="107"/>
    </row>
    <row r="20" spans="1:10">
      <c r="A20" s="112" t="s">
        <v>113</v>
      </c>
      <c r="B20" s="112"/>
      <c r="C20" s="112"/>
      <c r="D20" s="112"/>
      <c r="E20" s="112"/>
      <c r="F20" s="112"/>
      <c r="G20" s="112"/>
    </row>
    <row r="21" spans="1:10">
      <c r="A21" s="6" t="s">
        <v>829</v>
      </c>
      <c r="B21" s="6"/>
      <c r="C21" s="6"/>
      <c r="D21" s="6"/>
      <c r="E21" s="6"/>
      <c r="F21" s="6"/>
      <c r="G21" s="6"/>
    </row>
    <row r="22" spans="1:10">
      <c r="B22" s="6"/>
      <c r="C22" s="6"/>
      <c r="G22" s="113"/>
    </row>
    <row r="23" spans="1:10">
      <c r="B23" s="113"/>
      <c r="C23" s="113"/>
      <c r="E23" s="113" t="s">
        <v>830</v>
      </c>
      <c r="F23" s="113"/>
      <c r="G23" s="113"/>
    </row>
    <row r="24" spans="1:10">
      <c r="B24" s="113" t="s">
        <v>115</v>
      </c>
      <c r="C24" s="113"/>
      <c r="E24" s="113" t="s">
        <v>639</v>
      </c>
      <c r="F24" s="113"/>
      <c r="G24" s="113"/>
    </row>
    <row r="27" spans="1:10">
      <c r="F27" s="114"/>
    </row>
    <row r="28" spans="1:10">
      <c r="B28" s="115" t="s">
        <v>117</v>
      </c>
      <c r="C28" s="115"/>
      <c r="D28" s="116"/>
      <c r="E28" s="115" t="s">
        <v>118</v>
      </c>
      <c r="F28" s="115"/>
      <c r="G28" s="115"/>
    </row>
    <row r="29" spans="1:10">
      <c r="E29" s="113"/>
      <c r="F29" s="6"/>
    </row>
    <row r="30" spans="1:10">
      <c r="A30" s="6"/>
      <c r="F30" s="117"/>
    </row>
    <row r="31" spans="1:10">
      <c r="A31" s="6"/>
    </row>
  </sheetData>
  <mergeCells count="11">
    <mergeCell ref="A1:G1"/>
    <mergeCell ref="A2:G2"/>
    <mergeCell ref="A3:B3"/>
    <mergeCell ref="D3:F3"/>
    <mergeCell ref="A4:B4"/>
    <mergeCell ref="A5:B5"/>
    <mergeCell ref="A20:G20"/>
    <mergeCell ref="A21:G21"/>
    <mergeCell ref="E23:G23"/>
    <mergeCell ref="E24:G24"/>
    <mergeCell ref="E28:G28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opLeftCell="A7" workbookViewId="0">
      <selection activeCell="F13" sqref="F13"/>
    </sheetView>
  </sheetViews>
  <sheetFormatPr defaultColWidth="8.72727272727273" defaultRowHeight="14.5"/>
  <cols>
    <col min="1" max="1" width="6.09090909090909" style="7" customWidth="1"/>
    <col min="2" max="2" width="23.8181818181818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96" t="s">
        <v>0</v>
      </c>
      <c r="B1" s="96"/>
      <c r="C1" s="96"/>
      <c r="D1" s="96"/>
      <c r="E1" s="96"/>
      <c r="F1" s="96"/>
      <c r="G1" s="96"/>
    </row>
    <row r="2" spans="1:12">
      <c r="A2" s="97" t="s">
        <v>1081</v>
      </c>
      <c r="B2" s="97"/>
      <c r="C2" s="97"/>
      <c r="D2" s="97"/>
      <c r="E2" s="97"/>
      <c r="F2" s="97"/>
      <c r="G2" s="97"/>
    </row>
    <row r="3" spans="1:12">
      <c r="A3" s="98" t="s">
        <v>204</v>
      </c>
      <c r="B3" s="98"/>
      <c r="C3" s="98"/>
      <c r="D3" s="6" t="s">
        <v>122</v>
      </c>
      <c r="E3" s="6"/>
      <c r="F3" s="6"/>
    </row>
    <row r="4" spans="1:12">
      <c r="A4" s="98" t="s">
        <v>123</v>
      </c>
      <c r="B4" s="98"/>
      <c r="C4" s="98"/>
      <c r="D4" s="6" t="s">
        <v>124</v>
      </c>
    </row>
    <row r="5" spans="1:12">
      <c r="A5" s="98" t="s">
        <v>125</v>
      </c>
      <c r="B5" s="98"/>
      <c r="C5" s="98"/>
      <c r="D5" s="6" t="s">
        <v>126</v>
      </c>
      <c r="L5" s="99"/>
    </row>
    <row r="6" ht="29" spans="1:12">
      <c r="A6" s="100" t="s">
        <v>803</v>
      </c>
      <c r="B6" s="100" t="s">
        <v>816</v>
      </c>
      <c r="C6" s="100" t="s">
        <v>1055</v>
      </c>
      <c r="D6" s="101" t="s">
        <v>817</v>
      </c>
      <c r="E6" s="101" t="s">
        <v>818</v>
      </c>
      <c r="F6" s="101" t="s">
        <v>819</v>
      </c>
      <c r="G6" s="100" t="s">
        <v>820</v>
      </c>
    </row>
    <row r="7" spans="1:12">
      <c r="A7" s="118"/>
      <c r="B7" s="118"/>
      <c r="C7" s="118"/>
      <c r="D7" s="119"/>
      <c r="E7" s="119"/>
      <c r="F7" s="119"/>
      <c r="G7" s="120"/>
    </row>
    <row r="8" ht="22" customHeight="1" spans="1:12">
      <c r="A8" s="102">
        <v>1</v>
      </c>
      <c r="B8" s="75" t="s">
        <v>1075</v>
      </c>
      <c r="C8" s="1067" t="s">
        <v>1082</v>
      </c>
      <c r="D8" s="76">
        <v>1</v>
      </c>
      <c r="E8" s="76" t="s">
        <v>1073</v>
      </c>
      <c r="F8" s="77">
        <v>4450000</v>
      </c>
      <c r="G8" s="78">
        <f t="shared" ref="G8:G17" si="0">F8*D8</f>
        <v>4450000</v>
      </c>
      <c r="L8" s="117">
        <f>'[47]titik satu'!G31</f>
        <v>7885500</v>
      </c>
    </row>
    <row r="9" ht="22" customHeight="1" spans="1:12">
      <c r="A9" s="102">
        <v>2</v>
      </c>
      <c r="B9" s="87" t="s">
        <v>1077</v>
      </c>
      <c r="C9" s="1068" t="str">
        <f t="shared" ref="C9:C11" si="1">C8</f>
        <v>23-8-2025</v>
      </c>
      <c r="D9" s="88">
        <v>1</v>
      </c>
      <c r="E9" s="88" t="s">
        <v>1073</v>
      </c>
      <c r="F9" s="106">
        <v>1250000</v>
      </c>
      <c r="G9" s="78">
        <f t="shared" si="0"/>
        <v>1250000</v>
      </c>
      <c r="L9" s="117">
        <f>SUM('[47]titik ketiga'!G20)</f>
        <v>5607500</v>
      </c>
    </row>
    <row r="10" ht="22" customHeight="1" spans="1:12">
      <c r="A10" s="102">
        <v>3</v>
      </c>
      <c r="B10" s="87" t="s">
        <v>1078</v>
      </c>
      <c r="C10" s="1068" t="str">
        <f t="shared" si="1"/>
        <v>23-8-2025</v>
      </c>
      <c r="D10" s="88">
        <v>3</v>
      </c>
      <c r="E10" s="88" t="s">
        <v>1079</v>
      </c>
      <c r="F10" s="106">
        <v>75000</v>
      </c>
      <c r="G10" s="78">
        <f t="shared" si="0"/>
        <v>225000</v>
      </c>
      <c r="L10" s="117">
        <f>SUM('[47]titik kelima'!G20)</f>
        <v>5507000</v>
      </c>
    </row>
    <row r="11" ht="22" customHeight="1" spans="1:12">
      <c r="A11" s="102">
        <v>4</v>
      </c>
      <c r="B11" s="40" t="s">
        <v>1080</v>
      </c>
      <c r="C11" s="1069" t="str">
        <f t="shared" si="1"/>
        <v>23-8-2025</v>
      </c>
      <c r="D11" s="91">
        <v>1</v>
      </c>
      <c r="E11" s="108" t="s">
        <v>1063</v>
      </c>
      <c r="F11" s="108">
        <v>700000</v>
      </c>
      <c r="G11" s="78">
        <f t="shared" si="0"/>
        <v>700000</v>
      </c>
      <c r="J11" s="7" t="s">
        <v>1064</v>
      </c>
      <c r="L11" s="117" t="e">
        <f>SUM(#REF!)</f>
        <v>#REF!</v>
      </c>
    </row>
    <row r="12" ht="22" customHeight="1" spans="1:12">
      <c r="A12" s="102">
        <v>5</v>
      </c>
      <c r="B12" s="40" t="s">
        <v>1056</v>
      </c>
      <c r="C12" s="40"/>
      <c r="D12" s="91">
        <v>1</v>
      </c>
      <c r="E12" s="108" t="s">
        <v>822</v>
      </c>
      <c r="F12" s="108">
        <v>600000</v>
      </c>
      <c r="G12" s="78">
        <f t="shared" si="0"/>
        <v>600000</v>
      </c>
      <c r="J12" s="7" t="s">
        <v>1067</v>
      </c>
      <c r="L12" s="135">
        <f>SUM('[47] LOMPO E'!G16)</f>
        <v>39425000</v>
      </c>
    </row>
    <row r="13" ht="22" customHeight="1" spans="1:12">
      <c r="A13" s="102">
        <v>6</v>
      </c>
      <c r="B13" s="125" t="s">
        <v>1058</v>
      </c>
      <c r="C13" s="1068" t="s">
        <v>1059</v>
      </c>
      <c r="D13" s="88">
        <v>4</v>
      </c>
      <c r="E13" s="88" t="s">
        <v>1060</v>
      </c>
      <c r="F13" s="106">
        <v>160000</v>
      </c>
      <c r="G13" s="78">
        <f t="shared" si="0"/>
        <v>640000</v>
      </c>
      <c r="L13" s="117" t="e">
        <f>SUM(L8:L12)</f>
        <v>#REF!</v>
      </c>
    </row>
    <row r="14" ht="22" customHeight="1" spans="1:12">
      <c r="A14" s="102">
        <v>7</v>
      </c>
      <c r="B14" s="125" t="s">
        <v>1061</v>
      </c>
      <c r="C14" s="1068" t="s">
        <v>1059</v>
      </c>
      <c r="D14" s="88">
        <v>4</v>
      </c>
      <c r="E14" s="88" t="s">
        <v>1060</v>
      </c>
      <c r="F14" s="106">
        <v>85000</v>
      </c>
      <c r="G14" s="78">
        <f t="shared" si="0"/>
        <v>340000</v>
      </c>
      <c r="L14" s="117"/>
    </row>
    <row r="15" ht="22" customHeight="1" spans="1:12">
      <c r="A15" s="102">
        <v>8</v>
      </c>
      <c r="B15" s="125" t="s">
        <v>1083</v>
      </c>
      <c r="C15" s="1068" t="s">
        <v>1084</v>
      </c>
      <c r="D15" s="88">
        <v>1</v>
      </c>
      <c r="E15" s="88" t="s">
        <v>822</v>
      </c>
      <c r="F15" s="106">
        <v>300000</v>
      </c>
      <c r="G15" s="78">
        <f t="shared" si="0"/>
        <v>300000</v>
      </c>
      <c r="L15" s="117">
        <f>'[47]titik satu'!G40</f>
        <v>0</v>
      </c>
    </row>
    <row r="16" ht="22" customHeight="1" spans="1:12">
      <c r="A16" s="102">
        <v>9</v>
      </c>
      <c r="B16" s="125" t="s">
        <v>1085</v>
      </c>
      <c r="C16" s="1068" t="s">
        <v>1084</v>
      </c>
      <c r="D16" s="88">
        <v>1</v>
      </c>
      <c r="E16" s="88" t="s">
        <v>822</v>
      </c>
      <c r="F16" s="106">
        <v>400000</v>
      </c>
      <c r="G16" s="78">
        <f t="shared" si="0"/>
        <v>400000</v>
      </c>
    </row>
    <row r="17" ht="22" customHeight="1" spans="1:10">
      <c r="A17" s="102">
        <v>10</v>
      </c>
      <c r="B17" s="125" t="s">
        <v>1056</v>
      </c>
      <c r="C17" s="1068" t="s">
        <v>1086</v>
      </c>
      <c r="D17" s="88">
        <v>1</v>
      </c>
      <c r="E17" s="88" t="s">
        <v>822</v>
      </c>
      <c r="F17" s="106">
        <v>600000</v>
      </c>
      <c r="G17" s="78">
        <f t="shared" si="0"/>
        <v>600000</v>
      </c>
    </row>
    <row r="18" spans="1:10">
      <c r="A18" s="93"/>
      <c r="B18" s="109" t="s">
        <v>111</v>
      </c>
      <c r="C18" s="109"/>
      <c r="D18" s="110"/>
      <c r="E18" s="109"/>
      <c r="F18" s="109"/>
      <c r="G18" s="111">
        <f>SUM(G8:G17)</f>
        <v>9505000</v>
      </c>
      <c r="H18" s="137">
        <v>410500</v>
      </c>
      <c r="I18" s="107"/>
      <c r="J18" s="107"/>
    </row>
    <row r="19" spans="1:10">
      <c r="A19" s="112" t="s">
        <v>113</v>
      </c>
      <c r="B19" s="112"/>
      <c r="C19" s="112"/>
      <c r="D19" s="112"/>
      <c r="E19" s="112"/>
      <c r="F19" s="112"/>
      <c r="G19" s="112"/>
    </row>
    <row r="20" spans="1:10">
      <c r="A20" s="6" t="s">
        <v>829</v>
      </c>
      <c r="B20" s="6"/>
      <c r="C20" s="6"/>
      <c r="D20" s="6"/>
      <c r="E20" s="6"/>
      <c r="F20" s="6"/>
      <c r="G20" s="6"/>
    </row>
    <row r="21" spans="1:10">
      <c r="B21" s="6"/>
      <c r="C21" s="6"/>
      <c r="G21" s="113"/>
    </row>
    <row r="22" spans="1:10">
      <c r="B22" s="113"/>
      <c r="C22" s="113"/>
      <c r="E22" s="113" t="s">
        <v>830</v>
      </c>
      <c r="F22" s="113"/>
      <c r="G22" s="113"/>
    </row>
    <row r="23" spans="1:10">
      <c r="B23" s="113" t="s">
        <v>115</v>
      </c>
      <c r="C23" s="113"/>
      <c r="E23" s="113" t="s">
        <v>639</v>
      </c>
      <c r="F23" s="113"/>
      <c r="G23" s="113"/>
    </row>
    <row r="26" spans="1:10">
      <c r="F26" s="114"/>
    </row>
    <row r="27" spans="1:10">
      <c r="B27" s="115" t="s">
        <v>117</v>
      </c>
      <c r="C27" s="115"/>
      <c r="D27" s="116"/>
      <c r="E27" s="115" t="s">
        <v>118</v>
      </c>
      <c r="F27" s="115"/>
      <c r="G27" s="115"/>
    </row>
    <row r="28" spans="1:10">
      <c r="E28" s="113"/>
      <c r="F28" s="6"/>
    </row>
    <row r="29" spans="1:10">
      <c r="A29" s="6"/>
      <c r="F29" s="117"/>
    </row>
    <row r="30" spans="1:10">
      <c r="A30" s="6"/>
    </row>
  </sheetData>
  <mergeCells count="11">
    <mergeCell ref="A1:G1"/>
    <mergeCell ref="A2:G2"/>
    <mergeCell ref="A3:B3"/>
    <mergeCell ref="D3:F3"/>
    <mergeCell ref="A4:B4"/>
    <mergeCell ref="A5:B5"/>
    <mergeCell ref="A19:G19"/>
    <mergeCell ref="A20:G20"/>
    <mergeCell ref="E22:G22"/>
    <mergeCell ref="E23:G23"/>
    <mergeCell ref="E27:G27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opLeftCell="A5" workbookViewId="0">
      <selection activeCell="K15" sqref="K15"/>
    </sheetView>
  </sheetViews>
  <sheetFormatPr defaultColWidth="8.72727272727273" defaultRowHeight="14.5"/>
  <cols>
    <col min="1" max="1" width="6.09090909090909" style="7" customWidth="1"/>
    <col min="2" max="2" width="23.8181818181818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96" t="s">
        <v>0</v>
      </c>
      <c r="B1" s="96"/>
      <c r="C1" s="96"/>
      <c r="D1" s="96"/>
      <c r="E1" s="96"/>
      <c r="F1" s="96"/>
      <c r="G1" s="96"/>
    </row>
    <row r="2" spans="1:12">
      <c r="A2" s="97" t="s">
        <v>1087</v>
      </c>
      <c r="B2" s="97"/>
      <c r="C2" s="97"/>
      <c r="D2" s="97"/>
      <c r="E2" s="97"/>
      <c r="F2" s="97"/>
      <c r="G2" s="97"/>
    </row>
    <row r="3" spans="1:12">
      <c r="A3" s="98" t="s">
        <v>204</v>
      </c>
      <c r="B3" s="98"/>
      <c r="C3" s="98"/>
      <c r="D3" s="6" t="s">
        <v>122</v>
      </c>
      <c r="E3" s="6"/>
      <c r="F3" s="6"/>
    </row>
    <row r="4" spans="1:12">
      <c r="A4" s="98" t="s">
        <v>123</v>
      </c>
      <c r="B4" s="98"/>
      <c r="C4" s="98"/>
      <c r="D4" s="6" t="s">
        <v>124</v>
      </c>
    </row>
    <row r="5" spans="1:12">
      <c r="A5" s="98" t="s">
        <v>125</v>
      </c>
      <c r="B5" s="98"/>
      <c r="C5" s="98"/>
      <c r="D5" s="6" t="s">
        <v>126</v>
      </c>
      <c r="L5" s="99"/>
    </row>
    <row r="6" ht="29" spans="1:12">
      <c r="A6" s="100" t="s">
        <v>803</v>
      </c>
      <c r="B6" s="100" t="s">
        <v>816</v>
      </c>
      <c r="C6" s="100" t="s">
        <v>1055</v>
      </c>
      <c r="D6" s="101" t="s">
        <v>817</v>
      </c>
      <c r="E6" s="101" t="s">
        <v>818</v>
      </c>
      <c r="F6" s="101" t="s">
        <v>819</v>
      </c>
      <c r="G6" s="100" t="s">
        <v>820</v>
      </c>
    </row>
    <row r="7" spans="1:12">
      <c r="A7" s="118"/>
      <c r="B7" s="118"/>
      <c r="C7" s="118"/>
      <c r="D7" s="119"/>
      <c r="E7" s="119"/>
      <c r="F7" s="119"/>
      <c r="G7" s="120"/>
    </row>
    <row r="8" ht="20" customHeight="1" spans="1:12">
      <c r="A8" s="102">
        <v>1</v>
      </c>
      <c r="B8" s="75" t="s">
        <v>1075</v>
      </c>
      <c r="C8" s="1067" t="s">
        <v>1082</v>
      </c>
      <c r="D8" s="76">
        <v>1</v>
      </c>
      <c r="E8" s="76" t="s">
        <v>1073</v>
      </c>
      <c r="F8" s="77">
        <v>4450000</v>
      </c>
      <c r="G8" s="78">
        <f t="shared" ref="G8:G16" si="0">F8*D8</f>
        <v>4450000</v>
      </c>
      <c r="L8" s="117">
        <f>'[47]titik satu'!G31</f>
        <v>7885500</v>
      </c>
    </row>
    <row r="9" ht="20" customHeight="1" spans="1:12">
      <c r="A9" s="102">
        <v>2</v>
      </c>
      <c r="B9" s="87" t="s">
        <v>1077</v>
      </c>
      <c r="C9" s="1068" t="str">
        <f t="shared" ref="C9:C11" si="1">C8</f>
        <v>23-8-2025</v>
      </c>
      <c r="D9" s="88">
        <v>1</v>
      </c>
      <c r="E9" s="88" t="s">
        <v>1073</v>
      </c>
      <c r="F9" s="106">
        <v>1250000</v>
      </c>
      <c r="G9" s="78">
        <f t="shared" si="0"/>
        <v>1250000</v>
      </c>
      <c r="L9" s="117">
        <f>SUM('[47]titik ketiga'!G20)</f>
        <v>5607500</v>
      </c>
    </row>
    <row r="10" ht="20" customHeight="1" spans="1:12">
      <c r="A10" s="102">
        <v>3</v>
      </c>
      <c r="B10" s="87" t="s">
        <v>1078</v>
      </c>
      <c r="C10" s="1068" t="str">
        <f t="shared" si="1"/>
        <v>23-8-2025</v>
      </c>
      <c r="D10" s="88">
        <v>3</v>
      </c>
      <c r="E10" s="88" t="s">
        <v>1079</v>
      </c>
      <c r="F10" s="106">
        <v>75000</v>
      </c>
      <c r="G10" s="78">
        <f t="shared" si="0"/>
        <v>225000</v>
      </c>
      <c r="L10" s="117">
        <f>SUM('[47]titik kelima'!G20)</f>
        <v>5507000</v>
      </c>
    </row>
    <row r="11" ht="20" customHeight="1" spans="1:12">
      <c r="A11" s="102">
        <v>4</v>
      </c>
      <c r="B11" s="40" t="s">
        <v>1080</v>
      </c>
      <c r="C11" s="1069" t="str">
        <f t="shared" si="1"/>
        <v>23-8-2025</v>
      </c>
      <c r="D11" s="91">
        <v>1</v>
      </c>
      <c r="E11" s="108" t="s">
        <v>1063</v>
      </c>
      <c r="F11" s="108">
        <v>700000</v>
      </c>
      <c r="G11" s="78">
        <f t="shared" si="0"/>
        <v>700000</v>
      </c>
      <c r="J11" s="7" t="s">
        <v>1064</v>
      </c>
      <c r="L11" s="117" t="e">
        <f>SUM(#REF!)</f>
        <v>#REF!</v>
      </c>
    </row>
    <row r="12" ht="20" customHeight="1" spans="1:12">
      <c r="A12" s="102">
        <v>5</v>
      </c>
      <c r="B12" s="40" t="s">
        <v>1056</v>
      </c>
      <c r="C12" s="40"/>
      <c r="D12" s="91">
        <v>1</v>
      </c>
      <c r="E12" s="108" t="s">
        <v>822</v>
      </c>
      <c r="F12" s="108">
        <v>600000</v>
      </c>
      <c r="G12" s="78">
        <f t="shared" si="0"/>
        <v>600000</v>
      </c>
      <c r="J12" s="7" t="s">
        <v>1067</v>
      </c>
      <c r="L12" s="135">
        <f>SUM('[47] LOMPO E'!G16)</f>
        <v>39425000</v>
      </c>
    </row>
    <row r="13" ht="20" customHeight="1" spans="1:12">
      <c r="A13" s="102">
        <v>6</v>
      </c>
      <c r="B13" s="125" t="s">
        <v>1058</v>
      </c>
      <c r="C13" s="1068" t="s">
        <v>1059</v>
      </c>
      <c r="D13" s="88">
        <v>4</v>
      </c>
      <c r="E13" s="88" t="s">
        <v>1060</v>
      </c>
      <c r="F13" s="106">
        <v>160000</v>
      </c>
      <c r="G13" s="78">
        <f t="shared" si="0"/>
        <v>640000</v>
      </c>
      <c r="L13" s="117" t="e">
        <f>SUM(L8:L12)</f>
        <v>#REF!</v>
      </c>
    </row>
    <row r="14" ht="20" customHeight="1" spans="1:12">
      <c r="A14" s="102">
        <v>7</v>
      </c>
      <c r="B14" s="125" t="s">
        <v>1088</v>
      </c>
      <c r="C14" s="1069" t="s">
        <v>1059</v>
      </c>
      <c r="D14" s="91">
        <v>1</v>
      </c>
      <c r="E14" s="108" t="s">
        <v>1089</v>
      </c>
      <c r="F14" s="108">
        <v>550000</v>
      </c>
      <c r="G14" s="78">
        <f t="shared" si="0"/>
        <v>550000</v>
      </c>
      <c r="L14" s="117"/>
    </row>
    <row r="15" ht="20" customHeight="1" spans="1:12">
      <c r="A15" s="102">
        <v>8</v>
      </c>
      <c r="B15" s="125" t="s">
        <v>1090</v>
      </c>
      <c r="C15" s="1069" t="s">
        <v>1059</v>
      </c>
      <c r="D15" s="91">
        <v>1</v>
      </c>
      <c r="E15" s="108" t="s">
        <v>1089</v>
      </c>
      <c r="F15" s="108">
        <v>275000</v>
      </c>
      <c r="G15" s="78">
        <f t="shared" si="0"/>
        <v>275000</v>
      </c>
      <c r="L15" s="117">
        <f>'[47]titik satu'!G40</f>
        <v>0</v>
      </c>
    </row>
    <row r="16" ht="20" customHeight="1" spans="1:12">
      <c r="A16" s="102">
        <v>9</v>
      </c>
      <c r="B16" s="75" t="s">
        <v>1091</v>
      </c>
      <c r="C16" s="1067" t="s">
        <v>1057</v>
      </c>
      <c r="D16" s="76">
        <v>1</v>
      </c>
      <c r="E16" s="76" t="s">
        <v>822</v>
      </c>
      <c r="F16" s="77">
        <v>250000</v>
      </c>
      <c r="G16" s="78">
        <f t="shared" si="0"/>
        <v>250000</v>
      </c>
      <c r="L16" s="117">
        <f>SUM('[47]titik kelima'!G29)</f>
        <v>0</v>
      </c>
    </row>
    <row r="17" ht="20" customHeight="1" spans="1:10">
      <c r="A17" s="93"/>
      <c r="B17" s="109" t="s">
        <v>111</v>
      </c>
      <c r="C17" s="109"/>
      <c r="D17" s="110"/>
      <c r="E17" s="109"/>
      <c r="F17" s="109"/>
      <c r="G17" s="111">
        <f>SUM(G8:G16)</f>
        <v>8940000</v>
      </c>
      <c r="H17" s="137">
        <v>410500</v>
      </c>
      <c r="I17" s="107"/>
      <c r="J17" s="107"/>
    </row>
    <row r="18" spans="1:10">
      <c r="A18" s="112" t="s">
        <v>113</v>
      </c>
      <c r="B18" s="112"/>
      <c r="C18" s="112"/>
      <c r="D18" s="112"/>
      <c r="E18" s="112"/>
      <c r="F18" s="112"/>
      <c r="G18" s="112"/>
    </row>
    <row r="19" spans="1:10">
      <c r="A19" s="6" t="s">
        <v>829</v>
      </c>
      <c r="B19" s="6"/>
      <c r="C19" s="6"/>
      <c r="D19" s="6"/>
      <c r="E19" s="6"/>
      <c r="F19" s="6"/>
      <c r="G19" s="6"/>
    </row>
    <row r="20" spans="1:10">
      <c r="B20" s="6"/>
      <c r="C20" s="6"/>
      <c r="G20" s="113"/>
    </row>
    <row r="21" spans="1:10">
      <c r="B21" s="113"/>
      <c r="C21" s="113"/>
      <c r="E21" s="113" t="s">
        <v>830</v>
      </c>
      <c r="F21" s="113"/>
      <c r="G21" s="113"/>
    </row>
    <row r="22" spans="1:10">
      <c r="B22" s="113" t="s">
        <v>115</v>
      </c>
      <c r="C22" s="113"/>
      <c r="E22" s="113" t="s">
        <v>639</v>
      </c>
      <c r="F22" s="113"/>
      <c r="G22" s="113"/>
    </row>
    <row r="25" spans="1:10">
      <c r="F25" s="114"/>
    </row>
    <row r="26" spans="1:10">
      <c r="B26" s="115" t="s">
        <v>117</v>
      </c>
      <c r="C26" s="115"/>
      <c r="D26" s="116"/>
      <c r="E26" s="115" t="s">
        <v>118</v>
      </c>
      <c r="F26" s="115"/>
      <c r="G26" s="115"/>
    </row>
    <row r="27" spans="1:10">
      <c r="E27" s="113"/>
      <c r="F27" s="6"/>
    </row>
    <row r="28" spans="1:10">
      <c r="A28" s="6"/>
      <c r="F28" s="117"/>
    </row>
    <row r="29" spans="1:10">
      <c r="A29" s="6"/>
    </row>
  </sheetData>
  <mergeCells count="11">
    <mergeCell ref="A1:G1"/>
    <mergeCell ref="A2:G2"/>
    <mergeCell ref="A3:B3"/>
    <mergeCell ref="D3:F3"/>
    <mergeCell ref="A4:B4"/>
    <mergeCell ref="A5:B5"/>
    <mergeCell ref="A18:G18"/>
    <mergeCell ref="A19:G19"/>
    <mergeCell ref="E21:G21"/>
    <mergeCell ref="E22:G22"/>
    <mergeCell ref="E26:G26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workbookViewId="0">
      <selection activeCell="J25" sqref="J25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96" t="s">
        <v>0</v>
      </c>
      <c r="B1" s="96"/>
      <c r="C1" s="96"/>
      <c r="D1" s="96"/>
      <c r="E1" s="96"/>
      <c r="F1" s="96"/>
      <c r="G1" s="96"/>
    </row>
    <row r="2" spans="1:12">
      <c r="A2" s="97" t="s">
        <v>1092</v>
      </c>
      <c r="B2" s="97"/>
      <c r="C2" s="97"/>
      <c r="D2" s="97"/>
      <c r="E2" s="97"/>
      <c r="F2" s="97"/>
      <c r="G2" s="97"/>
    </row>
    <row r="3" spans="1:12">
      <c r="A3" s="98" t="s">
        <v>204</v>
      </c>
      <c r="B3" s="98"/>
      <c r="C3" s="98"/>
      <c r="D3" s="6" t="s">
        <v>122</v>
      </c>
      <c r="E3" s="6"/>
      <c r="F3" s="6"/>
    </row>
    <row r="4" spans="1:12">
      <c r="A4" s="98" t="s">
        <v>123</v>
      </c>
      <c r="B4" s="98"/>
      <c r="C4" s="98"/>
      <c r="D4" s="6" t="s">
        <v>124</v>
      </c>
    </row>
    <row r="5" spans="1:12">
      <c r="A5" s="98" t="s">
        <v>125</v>
      </c>
      <c r="B5" s="98"/>
      <c r="C5" s="98"/>
      <c r="D5" s="6" t="s">
        <v>126</v>
      </c>
      <c r="L5" s="99"/>
    </row>
    <row r="6" ht="29" spans="1:12">
      <c r="A6" s="100" t="s">
        <v>803</v>
      </c>
      <c r="B6" s="100" t="s">
        <v>816</v>
      </c>
      <c r="C6" s="100" t="s">
        <v>1055</v>
      </c>
      <c r="D6" s="101" t="s">
        <v>817</v>
      </c>
      <c r="E6" s="101" t="s">
        <v>818</v>
      </c>
      <c r="F6" s="101" t="s">
        <v>819</v>
      </c>
      <c r="G6" s="100" t="s">
        <v>820</v>
      </c>
    </row>
    <row r="7" spans="1:12">
      <c r="A7" s="118"/>
      <c r="B7" s="118"/>
      <c r="C7" s="118"/>
      <c r="D7" s="119"/>
      <c r="E7" s="119"/>
      <c r="F7" s="119"/>
      <c r="G7" s="120"/>
    </row>
    <row r="8" ht="18" customHeight="1" spans="1:12">
      <c r="A8" s="102">
        <v>1</v>
      </c>
      <c r="B8" s="87" t="s">
        <v>1077</v>
      </c>
      <c r="C8" s="1068" t="s">
        <v>1059</v>
      </c>
      <c r="D8" s="88">
        <v>1</v>
      </c>
      <c r="E8" s="88" t="s">
        <v>1073</v>
      </c>
      <c r="F8" s="106">
        <v>1250000</v>
      </c>
      <c r="G8" s="78">
        <f t="shared" ref="G8:G21" si="0">F8*D8</f>
        <v>1250000</v>
      </c>
      <c r="L8" s="117">
        <f>SUM('[47]titik ketiga'!G20)</f>
        <v>5607500</v>
      </c>
    </row>
    <row r="9" ht="18" customHeight="1" spans="1:12">
      <c r="A9" s="102">
        <v>2</v>
      </c>
      <c r="B9" s="87" t="s">
        <v>1093</v>
      </c>
      <c r="C9" s="1068" t="s">
        <v>1059</v>
      </c>
      <c r="D9" s="88">
        <v>2</v>
      </c>
      <c r="E9" s="88" t="s">
        <v>1089</v>
      </c>
      <c r="F9" s="106">
        <v>1000000</v>
      </c>
      <c r="G9" s="78">
        <f t="shared" si="0"/>
        <v>2000000</v>
      </c>
      <c r="L9" s="117">
        <f>SUM('[47]titik kelima'!G20)</f>
        <v>5507000</v>
      </c>
    </row>
    <row r="10" ht="18" customHeight="1" spans="1:12">
      <c r="A10" s="102">
        <v>3</v>
      </c>
      <c r="B10" s="40" t="s">
        <v>1094</v>
      </c>
      <c r="C10" s="1069" t="s">
        <v>1095</v>
      </c>
      <c r="D10" s="91">
        <v>1</v>
      </c>
      <c r="E10" s="108" t="s">
        <v>822</v>
      </c>
      <c r="F10" s="108">
        <v>600000</v>
      </c>
      <c r="G10" s="78">
        <f t="shared" si="0"/>
        <v>600000</v>
      </c>
      <c r="J10" s="7" t="s">
        <v>1064</v>
      </c>
      <c r="L10" s="117" t="e">
        <f>SUM(#REF!)</f>
        <v>#REF!</v>
      </c>
    </row>
    <row r="11" ht="18" customHeight="1" spans="1:12">
      <c r="A11" s="102">
        <v>4</v>
      </c>
      <c r="B11" s="130" t="s">
        <v>1096</v>
      </c>
      <c r="C11" s="1070" t="s">
        <v>1097</v>
      </c>
      <c r="D11" s="126">
        <v>1</v>
      </c>
      <c r="E11" s="93" t="s">
        <v>1063</v>
      </c>
      <c r="F11" s="128">
        <v>9800000</v>
      </c>
      <c r="G11" s="78">
        <f t="shared" si="0"/>
        <v>9800000</v>
      </c>
      <c r="J11" s="7" t="s">
        <v>1067</v>
      </c>
      <c r="L11" s="135">
        <f>SUM('[47] LOMPO E'!G16)</f>
        <v>39425000</v>
      </c>
    </row>
    <row r="12" ht="18" customHeight="1" spans="1:12">
      <c r="A12" s="102">
        <v>5</v>
      </c>
      <c r="B12" s="125" t="s">
        <v>1098</v>
      </c>
      <c r="C12" s="1070" t="s">
        <v>1097</v>
      </c>
      <c r="D12" s="126">
        <v>10</v>
      </c>
      <c r="E12" s="93" t="s">
        <v>1079</v>
      </c>
      <c r="F12" s="128">
        <v>130000</v>
      </c>
      <c r="G12" s="78">
        <f t="shared" si="0"/>
        <v>1300000</v>
      </c>
      <c r="L12" s="117" t="e">
        <f>SUM(L8:L11)</f>
        <v>#REF!</v>
      </c>
    </row>
    <row r="13" ht="18" customHeight="1" spans="1:12">
      <c r="A13" s="102">
        <v>6</v>
      </c>
      <c r="B13" s="40" t="s">
        <v>1099</v>
      </c>
      <c r="C13" s="1069" t="s">
        <v>1059</v>
      </c>
      <c r="D13" s="91">
        <v>1</v>
      </c>
      <c r="E13" s="108" t="s">
        <v>1089</v>
      </c>
      <c r="F13" s="108">
        <v>275000</v>
      </c>
      <c r="G13" s="78">
        <f t="shared" si="0"/>
        <v>275000</v>
      </c>
      <c r="L13" s="117"/>
    </row>
    <row r="14" ht="18" customHeight="1" spans="1:12">
      <c r="A14" s="102">
        <v>7</v>
      </c>
      <c r="B14" s="40" t="s">
        <v>1100</v>
      </c>
      <c r="C14" s="1069" t="s">
        <v>1101</v>
      </c>
      <c r="D14" s="91">
        <v>1</v>
      </c>
      <c r="E14" s="108" t="s">
        <v>1102</v>
      </c>
      <c r="F14" s="108">
        <v>160000</v>
      </c>
      <c r="G14" s="78">
        <f t="shared" si="0"/>
        <v>160000</v>
      </c>
      <c r="L14" s="117">
        <f>'[47]titik satu'!G40</f>
        <v>0</v>
      </c>
    </row>
    <row r="15" ht="18" customHeight="1" spans="1:12">
      <c r="A15" s="102">
        <v>8</v>
      </c>
      <c r="B15" s="40" t="s">
        <v>1103</v>
      </c>
      <c r="C15" s="1069" t="s">
        <v>1101</v>
      </c>
      <c r="D15" s="91">
        <v>3</v>
      </c>
      <c r="E15" s="108" t="s">
        <v>1063</v>
      </c>
      <c r="F15" s="108">
        <v>15000</v>
      </c>
      <c r="G15" s="78">
        <f t="shared" si="0"/>
        <v>45000</v>
      </c>
      <c r="L15" s="117">
        <f>SUM('[47]titik kelima'!G29)</f>
        <v>0</v>
      </c>
    </row>
    <row r="16" ht="18" customHeight="1" spans="1:12">
      <c r="A16" s="102">
        <v>9</v>
      </c>
      <c r="B16" s="40" t="s">
        <v>1104</v>
      </c>
      <c r="C16" s="1069" t="s">
        <v>1101</v>
      </c>
      <c r="D16" s="91">
        <v>1</v>
      </c>
      <c r="E16" s="108" t="s">
        <v>1105</v>
      </c>
      <c r="F16" s="108">
        <v>60000</v>
      </c>
      <c r="G16" s="78">
        <f t="shared" si="0"/>
        <v>60000</v>
      </c>
      <c r="J16" s="7" t="s">
        <v>1064</v>
      </c>
      <c r="L16" s="117" t="e">
        <f>SUM(#REF!)</f>
        <v>#REF!</v>
      </c>
    </row>
    <row r="17" ht="18" customHeight="1" spans="1:10">
      <c r="A17" s="102">
        <v>10</v>
      </c>
      <c r="B17" s="40" t="s">
        <v>1106</v>
      </c>
      <c r="C17" s="1071" t="s">
        <v>1101</v>
      </c>
      <c r="D17" s="91">
        <v>1</v>
      </c>
      <c r="E17" s="108" t="s">
        <v>1063</v>
      </c>
      <c r="F17" s="108">
        <v>65000</v>
      </c>
      <c r="G17" s="78">
        <f t="shared" si="0"/>
        <v>65000</v>
      </c>
    </row>
    <row r="18" ht="18" customHeight="1" spans="1:10">
      <c r="A18" s="102">
        <v>11</v>
      </c>
      <c r="B18" s="125" t="s">
        <v>1107</v>
      </c>
      <c r="C18" s="1070" t="s">
        <v>1101</v>
      </c>
      <c r="D18" s="126">
        <v>3</v>
      </c>
      <c r="E18" s="93" t="s">
        <v>1063</v>
      </c>
      <c r="F18" s="136">
        <v>20000</v>
      </c>
      <c r="G18" s="78">
        <f t="shared" si="0"/>
        <v>60000</v>
      </c>
      <c r="H18" s="137"/>
      <c r="I18" s="107"/>
      <c r="J18" s="107"/>
    </row>
    <row r="19" ht="18" customHeight="1" spans="1:10">
      <c r="A19" s="102">
        <v>12</v>
      </c>
      <c r="B19" s="125" t="s">
        <v>1108</v>
      </c>
      <c r="C19" s="1070" t="s">
        <v>1101</v>
      </c>
      <c r="D19" s="126">
        <v>3</v>
      </c>
      <c r="E19" s="93" t="s">
        <v>1063</v>
      </c>
      <c r="F19" s="136">
        <v>17000</v>
      </c>
      <c r="G19" s="78">
        <f t="shared" si="0"/>
        <v>51000</v>
      </c>
      <c r="H19" s="137"/>
      <c r="I19" s="107">
        <f>SUM(G14:G20)</f>
        <v>573000</v>
      </c>
      <c r="J19" s="107"/>
    </row>
    <row r="20" ht="18" customHeight="1" spans="1:10">
      <c r="A20" s="102">
        <v>13</v>
      </c>
      <c r="B20" s="125" t="s">
        <v>1109</v>
      </c>
      <c r="C20" s="1070" t="s">
        <v>1101</v>
      </c>
      <c r="D20" s="126">
        <v>4</v>
      </c>
      <c r="E20" s="93" t="s">
        <v>1063</v>
      </c>
      <c r="F20" s="136">
        <v>33000</v>
      </c>
      <c r="G20" s="78">
        <f t="shared" si="0"/>
        <v>132000</v>
      </c>
      <c r="H20" s="137"/>
      <c r="I20" s="107"/>
      <c r="J20" s="107"/>
    </row>
    <row r="21" ht="18" customHeight="1" spans="1:10">
      <c r="A21" s="93"/>
      <c r="B21" s="125" t="s">
        <v>1058</v>
      </c>
      <c r="C21" s="1068" t="s">
        <v>1059</v>
      </c>
      <c r="D21" s="88">
        <v>4</v>
      </c>
      <c r="E21" s="88" t="s">
        <v>1060</v>
      </c>
      <c r="F21" s="106">
        <v>160000</v>
      </c>
      <c r="G21" s="78">
        <f t="shared" si="0"/>
        <v>640000</v>
      </c>
      <c r="H21" s="137"/>
      <c r="I21" s="107"/>
      <c r="J21" s="107"/>
    </row>
    <row r="22" ht="18" customHeight="1" spans="1:10">
      <c r="A22" s="93"/>
      <c r="B22" s="109" t="s">
        <v>111</v>
      </c>
      <c r="C22" s="109"/>
      <c r="D22" s="110"/>
      <c r="E22" s="109"/>
      <c r="F22" s="109"/>
      <c r="G22" s="111">
        <f>SUM(G8:G21)</f>
        <v>16438000</v>
      </c>
      <c r="H22" s="137">
        <v>410500</v>
      </c>
      <c r="I22" s="107"/>
      <c r="J22" s="107"/>
    </row>
    <row r="23" spans="1:10">
      <c r="A23" s="112" t="s">
        <v>113</v>
      </c>
      <c r="B23" s="112"/>
      <c r="C23" s="112"/>
      <c r="D23" s="112"/>
      <c r="E23" s="112"/>
      <c r="F23" s="112"/>
      <c r="G23" s="112"/>
    </row>
    <row r="24" spans="1:10">
      <c r="A24" s="6" t="s">
        <v>829</v>
      </c>
      <c r="B24" s="6"/>
      <c r="C24" s="6"/>
      <c r="D24" s="6"/>
      <c r="E24" s="6"/>
      <c r="F24" s="6"/>
      <c r="G24" s="6"/>
    </row>
    <row r="25" spans="1:10">
      <c r="B25" s="6"/>
      <c r="C25" s="6"/>
      <c r="G25" s="113"/>
    </row>
    <row r="26" spans="1:10">
      <c r="B26" s="113"/>
      <c r="C26" s="113"/>
      <c r="E26" s="113" t="s">
        <v>830</v>
      </c>
      <c r="F26" s="113"/>
      <c r="G26" s="113"/>
    </row>
    <row r="27" spans="1:10">
      <c r="B27" s="113" t="s">
        <v>115</v>
      </c>
      <c r="C27" s="113"/>
      <c r="E27" s="113" t="s">
        <v>639</v>
      </c>
      <c r="F27" s="113"/>
      <c r="G27" s="113"/>
    </row>
    <row r="30" spans="1:10">
      <c r="F30" s="114"/>
    </row>
    <row r="31" spans="1:10">
      <c r="B31" s="115" t="s">
        <v>117</v>
      </c>
      <c r="C31" s="115"/>
      <c r="D31" s="116"/>
      <c r="E31" s="115" t="s">
        <v>118</v>
      </c>
      <c r="F31" s="115"/>
      <c r="G31" s="115"/>
    </row>
    <row r="32" spans="1:10">
      <c r="E32" s="113"/>
      <c r="F32" s="6"/>
    </row>
    <row r="33" spans="1:6">
      <c r="A33" s="6"/>
      <c r="F33" s="117"/>
    </row>
    <row r="34" spans="1:6">
      <c r="A34" s="6"/>
    </row>
  </sheetData>
  <mergeCells count="11">
    <mergeCell ref="A1:G1"/>
    <mergeCell ref="A2:G2"/>
    <mergeCell ref="A3:B3"/>
    <mergeCell ref="D3:F3"/>
    <mergeCell ref="A4:B4"/>
    <mergeCell ref="A5:B5"/>
    <mergeCell ref="A23:G23"/>
    <mergeCell ref="A24:G24"/>
    <mergeCell ref="E26:G26"/>
    <mergeCell ref="E27:G27"/>
    <mergeCell ref="E31:G31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opLeftCell="A8" workbookViewId="0">
      <selection activeCell="I19" sqref="I19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96" t="s">
        <v>0</v>
      </c>
      <c r="B1" s="96"/>
      <c r="C1" s="96"/>
      <c r="D1" s="96"/>
      <c r="E1" s="96"/>
      <c r="F1" s="96"/>
      <c r="G1" s="96"/>
    </row>
    <row r="2" spans="1:12">
      <c r="A2" s="97" t="s">
        <v>1092</v>
      </c>
      <c r="B2" s="97"/>
      <c r="C2" s="97"/>
      <c r="D2" s="97"/>
      <c r="E2" s="97"/>
      <c r="F2" s="97"/>
      <c r="G2" s="97"/>
    </row>
    <row r="3" spans="1:12">
      <c r="A3" s="98" t="s">
        <v>204</v>
      </c>
      <c r="B3" s="98"/>
      <c r="C3" s="98"/>
      <c r="D3" s="6" t="s">
        <v>122</v>
      </c>
      <c r="E3" s="6"/>
      <c r="F3" s="6"/>
    </row>
    <row r="4" spans="1:12">
      <c r="A4" s="98" t="s">
        <v>123</v>
      </c>
      <c r="B4" s="98"/>
      <c r="C4" s="98"/>
      <c r="D4" s="6" t="s">
        <v>124</v>
      </c>
    </row>
    <row r="5" spans="1:12">
      <c r="A5" s="98" t="s">
        <v>125</v>
      </c>
      <c r="B5" s="98"/>
      <c r="C5" s="98"/>
      <c r="D5" s="6" t="s">
        <v>126</v>
      </c>
      <c r="L5" s="99"/>
    </row>
    <row r="6" ht="29" spans="1:12">
      <c r="A6" s="100" t="s">
        <v>803</v>
      </c>
      <c r="B6" s="100" t="s">
        <v>816</v>
      </c>
      <c r="C6" s="100" t="s">
        <v>1055</v>
      </c>
      <c r="D6" s="101" t="s">
        <v>817</v>
      </c>
      <c r="E6" s="101" t="s">
        <v>818</v>
      </c>
      <c r="F6" s="101" t="s">
        <v>819</v>
      </c>
      <c r="G6" s="100" t="s">
        <v>820</v>
      </c>
    </row>
    <row r="7" spans="1:12">
      <c r="A7" s="118"/>
      <c r="B7" s="118"/>
      <c r="C7" s="118"/>
      <c r="D7" s="119"/>
      <c r="E7" s="119"/>
      <c r="F7" s="119"/>
      <c r="G7" s="120"/>
    </row>
    <row r="8" ht="18" customHeight="1" spans="1:12">
      <c r="A8" s="102">
        <v>1</v>
      </c>
      <c r="B8" s="87" t="s">
        <v>1056</v>
      </c>
      <c r="C8" s="1068" t="s">
        <v>986</v>
      </c>
      <c r="D8" s="88">
        <v>1</v>
      </c>
      <c r="E8" s="88" t="s">
        <v>822</v>
      </c>
      <c r="F8" s="106">
        <v>600000</v>
      </c>
      <c r="G8" s="78">
        <f t="shared" ref="G8:G21" si="0">F8*D8</f>
        <v>600000</v>
      </c>
      <c r="L8" s="117">
        <f>SUM('[47]titik ketiga'!G20)</f>
        <v>5607500</v>
      </c>
    </row>
    <row r="9" ht="18" customHeight="1" spans="1:12">
      <c r="A9" s="102">
        <v>2</v>
      </c>
      <c r="B9" s="87" t="s">
        <v>1110</v>
      </c>
      <c r="C9" s="1068" t="s">
        <v>1033</v>
      </c>
      <c r="D9" s="88">
        <v>1</v>
      </c>
      <c r="E9" s="88" t="s">
        <v>822</v>
      </c>
      <c r="F9" s="106">
        <v>500000</v>
      </c>
      <c r="G9" s="78">
        <f t="shared" si="0"/>
        <v>500000</v>
      </c>
      <c r="L9" s="117">
        <f>SUM('[47]titik kelima'!G20)</f>
        <v>5507000</v>
      </c>
    </row>
    <row r="10" ht="18" customHeight="1" spans="1:12">
      <c r="A10" s="102">
        <v>3</v>
      </c>
      <c r="B10" s="40" t="s">
        <v>1103</v>
      </c>
      <c r="C10" s="1069" t="s">
        <v>1101</v>
      </c>
      <c r="D10" s="91">
        <v>2</v>
      </c>
      <c r="E10" s="108" t="s">
        <v>1063</v>
      </c>
      <c r="F10" s="108">
        <v>15000</v>
      </c>
      <c r="G10" s="78">
        <f t="shared" si="0"/>
        <v>30000</v>
      </c>
      <c r="J10" s="7" t="s">
        <v>1064</v>
      </c>
      <c r="L10" s="117" t="e">
        <f>SUM(#REF!)</f>
        <v>#REF!</v>
      </c>
    </row>
    <row r="11" ht="18" customHeight="1" spans="1:12">
      <c r="A11" s="102">
        <v>4</v>
      </c>
      <c r="B11" s="40" t="s">
        <v>1106</v>
      </c>
      <c r="C11" s="1071" t="s">
        <v>1101</v>
      </c>
      <c r="D11" s="91">
        <v>1</v>
      </c>
      <c r="E11" s="108" t="s">
        <v>1063</v>
      </c>
      <c r="F11" s="108">
        <v>65000</v>
      </c>
      <c r="G11" s="78">
        <f t="shared" si="0"/>
        <v>65000</v>
      </c>
      <c r="L11" s="117" t="e">
        <f>SUM(L8:L10)</f>
        <v>#REF!</v>
      </c>
    </row>
    <row r="12" ht="18" customHeight="1" spans="1:12">
      <c r="A12" s="102">
        <v>5</v>
      </c>
      <c r="B12" s="40" t="s">
        <v>1100</v>
      </c>
      <c r="C12" s="1069" t="s">
        <v>1101</v>
      </c>
      <c r="D12" s="91">
        <v>1</v>
      </c>
      <c r="E12" s="108" t="s">
        <v>1102</v>
      </c>
      <c r="F12" s="108">
        <v>160000</v>
      </c>
      <c r="G12" s="78">
        <f t="shared" si="0"/>
        <v>160000</v>
      </c>
      <c r="L12" s="117"/>
    </row>
    <row r="13" ht="18" customHeight="1" spans="1:12">
      <c r="A13" s="102">
        <v>6</v>
      </c>
      <c r="B13" s="125" t="s">
        <v>1107</v>
      </c>
      <c r="C13" s="1070" t="s">
        <v>1101</v>
      </c>
      <c r="D13" s="126">
        <v>3</v>
      </c>
      <c r="E13" s="93" t="s">
        <v>1063</v>
      </c>
      <c r="F13" s="136">
        <v>20000</v>
      </c>
      <c r="G13" s="78">
        <f t="shared" si="0"/>
        <v>60000</v>
      </c>
      <c r="L13" s="117">
        <f>'[47]titik satu'!G40</f>
        <v>0</v>
      </c>
    </row>
    <row r="14" ht="18" customHeight="1" spans="1:12">
      <c r="A14" s="102">
        <v>7</v>
      </c>
      <c r="B14" s="125" t="s">
        <v>1108</v>
      </c>
      <c r="C14" s="1070" t="s">
        <v>1101</v>
      </c>
      <c r="D14" s="126">
        <v>3</v>
      </c>
      <c r="E14" s="93" t="s">
        <v>1063</v>
      </c>
      <c r="F14" s="136">
        <v>17000</v>
      </c>
      <c r="G14" s="78">
        <f t="shared" si="0"/>
        <v>51000</v>
      </c>
      <c r="L14" s="117">
        <f>SUM('[47]titik kelima'!G29)</f>
        <v>0</v>
      </c>
    </row>
    <row r="15" ht="18" customHeight="1" spans="1:12">
      <c r="A15" s="102">
        <v>8</v>
      </c>
      <c r="B15" s="125" t="s">
        <v>1109</v>
      </c>
      <c r="C15" s="1070" t="s">
        <v>1101</v>
      </c>
      <c r="D15" s="126">
        <v>3</v>
      </c>
      <c r="E15" s="93" t="s">
        <v>1063</v>
      </c>
      <c r="F15" s="136">
        <v>33000</v>
      </c>
      <c r="G15" s="78">
        <f t="shared" si="0"/>
        <v>99000</v>
      </c>
      <c r="J15" s="7" t="s">
        <v>1064</v>
      </c>
      <c r="L15" s="117" t="e">
        <f>SUM(#REF!)</f>
        <v>#REF!</v>
      </c>
    </row>
    <row r="16" ht="18" customHeight="1" spans="1:12">
      <c r="A16" s="102">
        <v>9</v>
      </c>
      <c r="B16" s="40" t="s">
        <v>1091</v>
      </c>
      <c r="C16" s="1071" t="s">
        <v>1101</v>
      </c>
      <c r="D16" s="91">
        <v>1</v>
      </c>
      <c r="E16" s="108" t="s">
        <v>822</v>
      </c>
      <c r="F16" s="108">
        <v>200000</v>
      </c>
      <c r="G16" s="78">
        <f t="shared" si="0"/>
        <v>200000</v>
      </c>
      <c r="L16" s="117"/>
    </row>
    <row r="17" ht="18" customHeight="1" spans="1:12">
      <c r="A17" s="102"/>
      <c r="B17" s="125" t="s">
        <v>1111</v>
      </c>
      <c r="C17" s="1068" t="s">
        <v>1059</v>
      </c>
      <c r="D17" s="88">
        <v>1</v>
      </c>
      <c r="E17" s="88" t="s">
        <v>1073</v>
      </c>
      <c r="F17" s="106">
        <v>1250000</v>
      </c>
      <c r="G17" s="78">
        <f t="shared" si="0"/>
        <v>1250000</v>
      </c>
      <c r="L17" s="117"/>
    </row>
    <row r="18" ht="18" customHeight="1" spans="1:12">
      <c r="A18" s="102"/>
      <c r="B18" s="130" t="s">
        <v>1112</v>
      </c>
      <c r="C18" s="1068" t="s">
        <v>1059</v>
      </c>
      <c r="D18" s="88">
        <v>1</v>
      </c>
      <c r="E18" s="88" t="s">
        <v>1063</v>
      </c>
      <c r="F18" s="106">
        <v>750000</v>
      </c>
      <c r="G18" s="78">
        <f t="shared" si="0"/>
        <v>750000</v>
      </c>
      <c r="L18" s="117"/>
    </row>
    <row r="19" ht="18" customHeight="1" spans="1:12">
      <c r="A19" s="102"/>
      <c r="B19" s="125"/>
      <c r="C19" s="125"/>
      <c r="D19" s="126"/>
      <c r="E19" s="93"/>
      <c r="F19" s="136"/>
      <c r="G19" s="78">
        <f t="shared" si="0"/>
        <v>0</v>
      </c>
      <c r="L19" s="117"/>
    </row>
    <row r="20" ht="18" customHeight="1" spans="1:12">
      <c r="A20" s="102"/>
      <c r="B20" s="125"/>
      <c r="C20" s="125"/>
      <c r="D20" s="126"/>
      <c r="E20" s="93"/>
      <c r="F20" s="136"/>
      <c r="G20" s="78">
        <f t="shared" si="0"/>
        <v>0</v>
      </c>
      <c r="L20" s="117"/>
    </row>
    <row r="21" ht="18" customHeight="1" spans="1:12">
      <c r="A21" s="102"/>
      <c r="B21" s="40"/>
      <c r="C21" s="124"/>
      <c r="D21" s="91"/>
      <c r="E21" s="108"/>
      <c r="F21" s="108"/>
      <c r="G21" s="78">
        <f t="shared" si="0"/>
        <v>0</v>
      </c>
      <c r="I21" s="107">
        <f>SUM(G10:G15)</f>
        <v>465000</v>
      </c>
    </row>
    <row r="22" ht="18" customHeight="1" spans="1:12">
      <c r="A22" s="93"/>
      <c r="B22" s="109" t="s">
        <v>111</v>
      </c>
      <c r="C22" s="109"/>
      <c r="D22" s="110"/>
      <c r="E22" s="109"/>
      <c r="F22" s="109"/>
      <c r="G22" s="111">
        <f>SUM(G8:G21)</f>
        <v>3765000</v>
      </c>
      <c r="H22" s="137">
        <v>410500</v>
      </c>
      <c r="I22" s="107"/>
      <c r="J22" s="107"/>
    </row>
    <row r="23" spans="1:12">
      <c r="A23" s="112" t="s">
        <v>113</v>
      </c>
      <c r="B23" s="112"/>
      <c r="C23" s="112"/>
      <c r="D23" s="112"/>
      <c r="E23" s="112"/>
      <c r="F23" s="112"/>
      <c r="G23" s="112"/>
    </row>
    <row r="24" spans="1:12">
      <c r="A24" s="6" t="s">
        <v>829</v>
      </c>
      <c r="B24" s="6"/>
      <c r="C24" s="6"/>
      <c r="D24" s="6"/>
      <c r="E24" s="6"/>
      <c r="F24" s="6"/>
      <c r="G24" s="6"/>
    </row>
    <row r="25" spans="1:12">
      <c r="B25" s="6"/>
      <c r="C25" s="6"/>
      <c r="G25" s="113"/>
    </row>
    <row r="26" spans="1:12">
      <c r="B26" s="113"/>
      <c r="C26" s="113"/>
      <c r="E26" s="113" t="s">
        <v>830</v>
      </c>
      <c r="F26" s="113"/>
      <c r="G26" s="113"/>
    </row>
    <row r="27" spans="1:12">
      <c r="B27" s="113" t="s">
        <v>115</v>
      </c>
      <c r="C27" s="113"/>
      <c r="E27" s="113" t="s">
        <v>639</v>
      </c>
      <c r="F27" s="113"/>
      <c r="G27" s="113"/>
    </row>
    <row r="30" spans="1:12">
      <c r="F30" s="114"/>
    </row>
    <row r="31" spans="1:12">
      <c r="B31" s="115" t="s">
        <v>117</v>
      </c>
      <c r="C31" s="115"/>
      <c r="D31" s="116"/>
      <c r="E31" s="115" t="s">
        <v>118</v>
      </c>
      <c r="F31" s="115"/>
      <c r="G31" s="115"/>
    </row>
    <row r="32" spans="1:12">
      <c r="E32" s="113"/>
      <c r="F32" s="6"/>
    </row>
    <row r="33" spans="1:6">
      <c r="A33" s="6"/>
      <c r="F33" s="117"/>
    </row>
    <row r="34" spans="1:6">
      <c r="A34" s="6"/>
    </row>
  </sheetData>
  <mergeCells count="11">
    <mergeCell ref="A1:G1"/>
    <mergeCell ref="A2:G2"/>
    <mergeCell ref="A3:B3"/>
    <mergeCell ref="D3:F3"/>
    <mergeCell ref="A4:B4"/>
    <mergeCell ref="A5:B5"/>
    <mergeCell ref="A23:G23"/>
    <mergeCell ref="A24:G24"/>
    <mergeCell ref="E26:G26"/>
    <mergeCell ref="E27:G27"/>
    <mergeCell ref="E31:G31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opLeftCell="A5" workbookViewId="0">
      <selection activeCell="I15" sqref="I15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96" t="s">
        <v>0</v>
      </c>
      <c r="B1" s="96"/>
      <c r="C1" s="96"/>
      <c r="D1" s="96"/>
      <c r="E1" s="96"/>
      <c r="F1" s="96"/>
      <c r="G1" s="96"/>
    </row>
    <row r="2" spans="1:12">
      <c r="A2" s="97" t="s">
        <v>1092</v>
      </c>
      <c r="B2" s="97"/>
      <c r="C2" s="97"/>
      <c r="D2" s="97"/>
      <c r="E2" s="97"/>
      <c r="F2" s="97"/>
      <c r="G2" s="97"/>
    </row>
    <row r="3" spans="1:12">
      <c r="A3" s="98" t="s">
        <v>204</v>
      </c>
      <c r="B3" s="98"/>
      <c r="C3" s="98"/>
      <c r="D3" s="6" t="s">
        <v>122</v>
      </c>
      <c r="E3" s="6"/>
      <c r="F3" s="6"/>
    </row>
    <row r="4" spans="1:12">
      <c r="A4" s="98" t="s">
        <v>123</v>
      </c>
      <c r="B4" s="98"/>
      <c r="C4" s="98"/>
      <c r="D4" s="6" t="s">
        <v>124</v>
      </c>
    </row>
    <row r="5" spans="1:12">
      <c r="A5" s="98" t="s">
        <v>125</v>
      </c>
      <c r="B5" s="98"/>
      <c r="C5" s="98"/>
      <c r="D5" s="6" t="s">
        <v>126</v>
      </c>
      <c r="L5" s="99"/>
    </row>
    <row r="6" ht="29" spans="1:12">
      <c r="A6" s="100" t="s">
        <v>803</v>
      </c>
      <c r="B6" s="100" t="s">
        <v>816</v>
      </c>
      <c r="C6" s="100" t="s">
        <v>1055</v>
      </c>
      <c r="D6" s="101" t="s">
        <v>817</v>
      </c>
      <c r="E6" s="101" t="s">
        <v>818</v>
      </c>
      <c r="F6" s="101" t="s">
        <v>819</v>
      </c>
      <c r="G6" s="100" t="s">
        <v>820</v>
      </c>
    </row>
    <row r="7" spans="1:12">
      <c r="A7" s="118"/>
      <c r="B7" s="118"/>
      <c r="C7" s="118"/>
      <c r="D7" s="119"/>
      <c r="E7" s="119"/>
      <c r="F7" s="119"/>
      <c r="G7" s="120"/>
    </row>
    <row r="8" ht="18" customHeight="1" spans="1:12">
      <c r="A8" s="102">
        <v>1</v>
      </c>
      <c r="B8" s="40" t="s">
        <v>1103</v>
      </c>
      <c r="C8" s="1069" t="s">
        <v>1101</v>
      </c>
      <c r="D8" s="91">
        <v>2</v>
      </c>
      <c r="E8" s="108" t="s">
        <v>1063</v>
      </c>
      <c r="F8" s="108">
        <v>15000</v>
      </c>
      <c r="G8" s="78">
        <f t="shared" ref="G8:G13" si="0">F8*D8</f>
        <v>30000</v>
      </c>
      <c r="L8" s="117">
        <f>SUM('[47]titik ketiga'!G20)</f>
        <v>5607500</v>
      </c>
    </row>
    <row r="9" ht="18" customHeight="1" spans="1:12">
      <c r="A9" s="102">
        <v>2</v>
      </c>
      <c r="B9" s="40" t="s">
        <v>1100</v>
      </c>
      <c r="C9" s="1069" t="s">
        <v>1101</v>
      </c>
      <c r="D9" s="91">
        <v>1</v>
      </c>
      <c r="E9" s="108" t="s">
        <v>1102</v>
      </c>
      <c r="F9" s="108">
        <v>160000</v>
      </c>
      <c r="G9" s="78">
        <f t="shared" si="0"/>
        <v>160000</v>
      </c>
      <c r="J9" s="7" t="s">
        <v>1067</v>
      </c>
      <c r="L9" s="135">
        <f>SUM('[47] LOMPO E'!G16)</f>
        <v>39425000</v>
      </c>
    </row>
    <row r="10" ht="18" customHeight="1" spans="1:12">
      <c r="A10" s="102">
        <v>3</v>
      </c>
      <c r="B10" s="125" t="s">
        <v>1107</v>
      </c>
      <c r="C10" s="1070" t="s">
        <v>1101</v>
      </c>
      <c r="D10" s="126">
        <v>2</v>
      </c>
      <c r="E10" s="93" t="s">
        <v>1063</v>
      </c>
      <c r="F10" s="136">
        <v>20000</v>
      </c>
      <c r="G10" s="78">
        <f t="shared" si="0"/>
        <v>40000</v>
      </c>
      <c r="L10" s="117">
        <f>SUM(L8:L9)</f>
        <v>45032500</v>
      </c>
    </row>
    <row r="11" ht="18" customHeight="1" spans="1:12">
      <c r="A11" s="102">
        <v>4</v>
      </c>
      <c r="B11" s="125" t="s">
        <v>1108</v>
      </c>
      <c r="C11" s="1070" t="s">
        <v>1101</v>
      </c>
      <c r="D11" s="126">
        <v>2</v>
      </c>
      <c r="E11" s="93" t="s">
        <v>1063</v>
      </c>
      <c r="F11" s="136">
        <v>17000</v>
      </c>
      <c r="G11" s="78">
        <f t="shared" si="0"/>
        <v>34000</v>
      </c>
      <c r="L11" s="117"/>
    </row>
    <row r="12" ht="18" customHeight="1" spans="1:12">
      <c r="A12" s="102">
        <v>5</v>
      </c>
      <c r="B12" s="125" t="s">
        <v>1109</v>
      </c>
      <c r="C12" s="1070" t="s">
        <v>1101</v>
      </c>
      <c r="D12" s="126">
        <v>3</v>
      </c>
      <c r="E12" s="93" t="s">
        <v>1063</v>
      </c>
      <c r="F12" s="136">
        <v>33000</v>
      </c>
      <c r="G12" s="78">
        <f t="shared" si="0"/>
        <v>99000</v>
      </c>
      <c r="L12" s="117">
        <f>'[47]titik satu'!G40</f>
        <v>0</v>
      </c>
    </row>
    <row r="13" ht="18" customHeight="1" spans="1:12">
      <c r="A13" s="102">
        <v>6</v>
      </c>
      <c r="B13" s="40" t="s">
        <v>1113</v>
      </c>
      <c r="C13" s="1069" t="s">
        <v>1101</v>
      </c>
      <c r="D13" s="91">
        <v>1</v>
      </c>
      <c r="E13" s="108" t="s">
        <v>1073</v>
      </c>
      <c r="F13" s="108">
        <v>1315000</v>
      </c>
      <c r="G13" s="78">
        <f t="shared" si="0"/>
        <v>1315000</v>
      </c>
      <c r="L13" s="117">
        <f>SUM('[47]titik kelima'!G29)</f>
        <v>0</v>
      </c>
    </row>
    <row r="14" ht="18" customHeight="1" spans="1:12">
      <c r="A14" s="93"/>
      <c r="B14" s="109" t="s">
        <v>111</v>
      </c>
      <c r="C14" s="109"/>
      <c r="D14" s="110"/>
      <c r="E14" s="109"/>
      <c r="F14" s="109"/>
      <c r="G14" s="111">
        <f>SUM(G8:G13)</f>
        <v>1678000</v>
      </c>
      <c r="H14" s="137">
        <v>410500</v>
      </c>
      <c r="I14" s="107"/>
      <c r="J14" s="107"/>
    </row>
    <row r="15" spans="1:12">
      <c r="A15" s="112" t="s">
        <v>113</v>
      </c>
      <c r="B15" s="112"/>
      <c r="C15" s="112"/>
      <c r="D15" s="112"/>
      <c r="E15" s="112"/>
      <c r="F15" s="112"/>
      <c r="G15" s="112"/>
    </row>
    <row r="16" spans="1:12">
      <c r="A16" s="6" t="s">
        <v>829</v>
      </c>
      <c r="B16" s="6"/>
      <c r="C16" s="6"/>
      <c r="D16" s="6"/>
      <c r="E16" s="6"/>
      <c r="F16" s="6"/>
      <c r="G16" s="6"/>
    </row>
    <row r="17" spans="1:7">
      <c r="B17" s="6"/>
      <c r="C17" s="6"/>
      <c r="G17" s="113"/>
    </row>
    <row r="18" spans="1:7">
      <c r="B18" s="113"/>
      <c r="C18" s="113"/>
      <c r="E18" s="113" t="s">
        <v>830</v>
      </c>
      <c r="F18" s="113"/>
      <c r="G18" s="113"/>
    </row>
    <row r="19" spans="1:7">
      <c r="B19" s="113" t="s">
        <v>115</v>
      </c>
      <c r="C19" s="113"/>
      <c r="E19" s="113" t="s">
        <v>639</v>
      </c>
      <c r="F19" s="113"/>
      <c r="G19" s="113"/>
    </row>
    <row r="22" spans="1:7">
      <c r="F22" s="114"/>
    </row>
    <row r="23" spans="1:7">
      <c r="B23" s="115" t="s">
        <v>117</v>
      </c>
      <c r="C23" s="115"/>
      <c r="D23" s="116"/>
      <c r="E23" s="115" t="s">
        <v>118</v>
      </c>
      <c r="F23" s="115"/>
      <c r="G23" s="115"/>
    </row>
    <row r="24" spans="1:7">
      <c r="E24" s="113"/>
      <c r="F24" s="6"/>
    </row>
    <row r="25" spans="1:7">
      <c r="A25" s="6"/>
      <c r="F25" s="117"/>
    </row>
    <row r="26" spans="1:7">
      <c r="A26" s="6"/>
    </row>
  </sheetData>
  <mergeCells count="11">
    <mergeCell ref="A1:G1"/>
    <mergeCell ref="A2:G2"/>
    <mergeCell ref="A3:B3"/>
    <mergeCell ref="D3:F3"/>
    <mergeCell ref="A4:B4"/>
    <mergeCell ref="A5:B5"/>
    <mergeCell ref="A15:G15"/>
    <mergeCell ref="A16:G16"/>
    <mergeCell ref="E18:G18"/>
    <mergeCell ref="E19:G19"/>
    <mergeCell ref="E23:G23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opLeftCell="A5" workbookViewId="0">
      <selection activeCell="G10" sqref="G10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96" t="s">
        <v>0</v>
      </c>
      <c r="B1" s="96"/>
      <c r="C1" s="96"/>
      <c r="D1" s="96"/>
      <c r="E1" s="96"/>
      <c r="F1" s="96"/>
      <c r="G1" s="96"/>
    </row>
    <row r="2" spans="1:12">
      <c r="A2" s="97" t="s">
        <v>1092</v>
      </c>
      <c r="B2" s="97"/>
      <c r="C2" s="97"/>
      <c r="D2" s="97"/>
      <c r="E2" s="97"/>
      <c r="F2" s="97"/>
      <c r="G2" s="97"/>
    </row>
    <row r="3" spans="1:12">
      <c r="A3" s="98" t="s">
        <v>204</v>
      </c>
      <c r="B3" s="98"/>
      <c r="C3" s="98"/>
      <c r="D3" s="6" t="s">
        <v>122</v>
      </c>
      <c r="E3" s="6"/>
      <c r="F3" s="6"/>
    </row>
    <row r="4" spans="1:12">
      <c r="A4" s="98" t="s">
        <v>123</v>
      </c>
      <c r="B4" s="98"/>
      <c r="C4" s="98"/>
      <c r="D4" s="6" t="s">
        <v>124</v>
      </c>
    </row>
    <row r="5" spans="1:12">
      <c r="A5" s="98" t="s">
        <v>125</v>
      </c>
      <c r="B5" s="98"/>
      <c r="C5" s="98"/>
      <c r="D5" s="6" t="s">
        <v>126</v>
      </c>
      <c r="L5" s="99"/>
    </row>
    <row r="6" ht="29" spans="1:12">
      <c r="A6" s="100" t="s">
        <v>803</v>
      </c>
      <c r="B6" s="100" t="s">
        <v>816</v>
      </c>
      <c r="C6" s="100" t="s">
        <v>1055</v>
      </c>
      <c r="D6" s="101" t="s">
        <v>817</v>
      </c>
      <c r="E6" s="101" t="s">
        <v>818</v>
      </c>
      <c r="F6" s="101" t="s">
        <v>819</v>
      </c>
      <c r="G6" s="100" t="s">
        <v>820</v>
      </c>
    </row>
    <row r="7" spans="1:12">
      <c r="A7" s="118"/>
      <c r="B7" s="118"/>
      <c r="C7" s="118"/>
      <c r="D7" s="119"/>
      <c r="E7" s="119"/>
      <c r="F7" s="119"/>
      <c r="G7" s="120"/>
    </row>
    <row r="8" ht="18" customHeight="1" spans="1:12">
      <c r="A8" s="102">
        <v>1</v>
      </c>
      <c r="B8" s="130" t="s">
        <v>1114</v>
      </c>
      <c r="C8" s="1068" t="s">
        <v>1059</v>
      </c>
      <c r="D8" s="88">
        <v>3</v>
      </c>
      <c r="E8" s="88" t="s">
        <v>1089</v>
      </c>
      <c r="F8" s="106">
        <v>1000000</v>
      </c>
      <c r="G8" s="78">
        <f t="shared" ref="G8:G13" si="0">F8*D8</f>
        <v>3000000</v>
      </c>
      <c r="J8" s="7" t="s">
        <v>1067</v>
      </c>
      <c r="L8" s="135">
        <f>SUM('[47] LOMPO E'!G16)</f>
        <v>39425000</v>
      </c>
    </row>
    <row r="9" ht="18" customHeight="1" spans="1:12">
      <c r="A9" s="102">
        <v>3</v>
      </c>
      <c r="B9" s="125" t="s">
        <v>1078</v>
      </c>
      <c r="C9" s="1068" t="s">
        <v>1059</v>
      </c>
      <c r="D9" s="88">
        <v>5</v>
      </c>
      <c r="E9" s="88" t="s">
        <v>1079</v>
      </c>
      <c r="F9" s="106">
        <v>75000</v>
      </c>
      <c r="G9" s="78">
        <f t="shared" si="0"/>
        <v>375000</v>
      </c>
      <c r="L9" s="117"/>
    </row>
    <row r="10" ht="18" customHeight="1" spans="1:12">
      <c r="A10" s="102">
        <v>4</v>
      </c>
      <c r="B10" s="125" t="s">
        <v>1115</v>
      </c>
      <c r="C10" s="1070" t="s">
        <v>1116</v>
      </c>
      <c r="D10" s="126">
        <v>1</v>
      </c>
      <c r="E10" s="93" t="s">
        <v>1063</v>
      </c>
      <c r="F10" s="136">
        <v>2000000</v>
      </c>
      <c r="G10" s="78">
        <f t="shared" si="0"/>
        <v>2000000</v>
      </c>
      <c r="L10" s="117">
        <f>'[47]titik satu'!G40</f>
        <v>0</v>
      </c>
    </row>
    <row r="11" ht="18" customHeight="1" spans="1:12">
      <c r="A11" s="102">
        <v>5</v>
      </c>
      <c r="B11" s="40"/>
      <c r="C11" s="40"/>
      <c r="D11" s="91"/>
      <c r="E11" s="108"/>
      <c r="F11" s="108"/>
      <c r="G11" s="78">
        <f t="shared" si="0"/>
        <v>0</v>
      </c>
      <c r="L11" s="117">
        <f>SUM('[47]titik kelima'!G29)</f>
        <v>0</v>
      </c>
    </row>
    <row r="12" ht="18" customHeight="1" spans="1:12">
      <c r="A12" s="102">
        <v>6</v>
      </c>
      <c r="B12" s="40"/>
      <c r="C12" s="40"/>
      <c r="D12" s="91"/>
      <c r="E12" s="108"/>
      <c r="F12" s="108"/>
      <c r="G12" s="78">
        <f t="shared" si="0"/>
        <v>0</v>
      </c>
      <c r="J12" s="7" t="s">
        <v>1064</v>
      </c>
      <c r="L12" s="117" t="e">
        <f>SUM(#REF!)</f>
        <v>#REF!</v>
      </c>
    </row>
    <row r="13" ht="18" customHeight="1" spans="1:12">
      <c r="A13" s="102">
        <v>7</v>
      </c>
      <c r="B13" s="40"/>
      <c r="C13" s="124"/>
      <c r="D13" s="91"/>
      <c r="E13" s="108"/>
      <c r="F13" s="108"/>
      <c r="G13" s="78">
        <f t="shared" si="0"/>
        <v>0</v>
      </c>
    </row>
    <row r="14" ht="18" customHeight="1" spans="1:12">
      <c r="A14" s="93"/>
      <c r="B14" s="109" t="s">
        <v>111</v>
      </c>
      <c r="C14" s="109"/>
      <c r="D14" s="110"/>
      <c r="E14" s="109"/>
      <c r="F14" s="109"/>
      <c r="G14" s="111">
        <f>SUM(G8:G13)</f>
        <v>5375000</v>
      </c>
      <c r="H14" s="137">
        <v>410500</v>
      </c>
      <c r="I14" s="107"/>
      <c r="J14" s="107"/>
    </row>
    <row r="15" spans="1:12">
      <c r="A15" s="112" t="s">
        <v>113</v>
      </c>
      <c r="B15" s="112"/>
      <c r="C15" s="112"/>
      <c r="D15" s="112"/>
      <c r="E15" s="112"/>
      <c r="F15" s="112"/>
      <c r="G15" s="112"/>
    </row>
    <row r="16" spans="1:12">
      <c r="A16" s="6" t="s">
        <v>829</v>
      </c>
      <c r="B16" s="6"/>
      <c r="C16" s="6"/>
      <c r="D16" s="6"/>
      <c r="E16" s="6"/>
      <c r="F16" s="6"/>
      <c r="G16" s="6"/>
    </row>
    <row r="17" spans="1:7">
      <c r="B17" s="6"/>
      <c r="C17" s="6"/>
      <c r="G17" s="113"/>
    </row>
    <row r="18" spans="1:7">
      <c r="B18" s="113"/>
      <c r="C18" s="113"/>
      <c r="E18" s="113" t="s">
        <v>830</v>
      </c>
      <c r="F18" s="113"/>
      <c r="G18" s="113"/>
    </row>
    <row r="19" spans="1:7">
      <c r="B19" s="113" t="s">
        <v>115</v>
      </c>
      <c r="C19" s="113"/>
      <c r="E19" s="113" t="s">
        <v>639</v>
      </c>
      <c r="F19" s="113"/>
      <c r="G19" s="113"/>
    </row>
    <row r="22" spans="1:7">
      <c r="F22" s="114"/>
    </row>
    <row r="23" spans="1:7">
      <c r="B23" s="115" t="s">
        <v>117</v>
      </c>
      <c r="C23" s="115"/>
      <c r="D23" s="116"/>
      <c r="E23" s="115" t="s">
        <v>118</v>
      </c>
      <c r="F23" s="115"/>
      <c r="G23" s="115"/>
    </row>
    <row r="24" spans="1:7">
      <c r="E24" s="113"/>
      <c r="F24" s="6"/>
    </row>
    <row r="25" spans="1:7">
      <c r="A25" s="6"/>
      <c r="F25" s="117"/>
    </row>
    <row r="26" spans="1:7">
      <c r="A26" s="6"/>
    </row>
  </sheetData>
  <mergeCells count="11">
    <mergeCell ref="A1:G1"/>
    <mergeCell ref="A2:G2"/>
    <mergeCell ref="A3:B3"/>
    <mergeCell ref="D3:F3"/>
    <mergeCell ref="A4:B4"/>
    <mergeCell ref="A5:B5"/>
    <mergeCell ref="A15:G15"/>
    <mergeCell ref="A16:G16"/>
    <mergeCell ref="E18:G18"/>
    <mergeCell ref="E19:G19"/>
    <mergeCell ref="E23:G23"/>
  </mergeCell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7"/>
  <sheetViews>
    <sheetView view="pageLayout" zoomScale="110" zoomScaleNormal="100" topLeftCell="A45" workbookViewId="0">
      <selection activeCell="I57" sqref="I57"/>
    </sheetView>
  </sheetViews>
  <sheetFormatPr defaultColWidth="8.72727272727273" defaultRowHeight="14.5"/>
  <cols>
    <col min="1" max="1" width="6.09090909090909" style="7" customWidth="1"/>
    <col min="2" max="2" width="16.1818181818182" style="7" customWidth="1"/>
    <col min="3" max="3" width="12" style="7" customWidth="1"/>
    <col min="4" max="5" width="8.72727272727273" style="7"/>
    <col min="6" max="6" width="14.4545454545455" style="7"/>
    <col min="7" max="7" width="17" style="7" customWidth="1"/>
    <col min="8" max="8" width="8.72727272727273" style="7"/>
    <col min="9" max="9" width="15.5454545454545" style="7"/>
    <col min="10" max="10" width="20.4545454545455" style="7" customWidth="1"/>
    <col min="11" max="11" width="12.7272727272727" style="7"/>
    <col min="12" max="12" width="11.5454545454545" style="7"/>
    <col min="13" max="16384" width="8.72727272727273" style="7"/>
  </cols>
  <sheetData>
    <row r="1" spans="1:12">
      <c r="A1" s="96" t="s">
        <v>0</v>
      </c>
      <c r="B1" s="96"/>
      <c r="C1" s="96"/>
      <c r="D1" s="96"/>
      <c r="E1" s="96"/>
      <c r="F1" s="96"/>
      <c r="G1" s="96"/>
    </row>
    <row r="2" spans="1:12">
      <c r="A2" s="97" t="s">
        <v>1117</v>
      </c>
      <c r="B2" s="97"/>
      <c r="C2" s="97"/>
      <c r="D2" s="97"/>
      <c r="E2" s="97"/>
      <c r="F2" s="97"/>
      <c r="G2" s="97"/>
    </row>
    <row r="3" spans="1:12">
      <c r="A3" s="98" t="s">
        <v>204</v>
      </c>
      <c r="B3" s="98"/>
      <c r="C3" s="98"/>
      <c r="D3" s="6" t="s">
        <v>122</v>
      </c>
      <c r="E3" s="6"/>
      <c r="F3" s="6"/>
    </row>
    <row r="4" spans="1:12">
      <c r="A4" s="98" t="s">
        <v>123</v>
      </c>
      <c r="B4" s="98"/>
      <c r="C4" s="98"/>
      <c r="D4" s="6" t="s">
        <v>124</v>
      </c>
    </row>
    <row r="5" spans="1:12">
      <c r="A5" s="98" t="s">
        <v>125</v>
      </c>
      <c r="B5" s="98"/>
      <c r="C5" s="98"/>
      <c r="D5" s="6" t="s">
        <v>126</v>
      </c>
      <c r="L5" s="99"/>
    </row>
    <row r="6" ht="29" spans="1:12">
      <c r="A6" s="100" t="s">
        <v>803</v>
      </c>
      <c r="B6" s="100" t="s">
        <v>816</v>
      </c>
      <c r="C6" s="100" t="s">
        <v>1055</v>
      </c>
      <c r="D6" s="101" t="s">
        <v>817</v>
      </c>
      <c r="E6" s="101" t="s">
        <v>818</v>
      </c>
      <c r="F6" s="101" t="s">
        <v>819</v>
      </c>
      <c r="G6" s="100" t="s">
        <v>820</v>
      </c>
      <c r="J6" s="7">
        <v>1</v>
      </c>
      <c r="K6" s="117">
        <f>SUM('[47]titik satu'!G31)</f>
        <v>7885500</v>
      </c>
    </row>
    <row r="7" spans="1:12">
      <c r="A7" s="118"/>
      <c r="B7" s="118"/>
      <c r="C7" s="118"/>
      <c r="D7" s="119"/>
      <c r="E7" s="119"/>
      <c r="F7" s="119"/>
      <c r="G7" s="120"/>
      <c r="J7" s="7">
        <v>2</v>
      </c>
      <c r="K7" s="117">
        <f>SUM('[47]titik kedua'!G26)</f>
        <v>7621000</v>
      </c>
    </row>
    <row r="8" spans="1:12">
      <c r="A8" s="102">
        <v>1</v>
      </c>
      <c r="B8" s="75" t="s">
        <v>1118</v>
      </c>
      <c r="C8" s="1067" t="s">
        <v>1119</v>
      </c>
      <c r="D8" s="76">
        <v>50</v>
      </c>
      <c r="E8" s="76" t="s">
        <v>782</v>
      </c>
      <c r="F8" s="77">
        <v>18600</v>
      </c>
      <c r="G8" s="78">
        <f t="shared" ref="G8:G52" si="0">F8*D8</f>
        <v>930000</v>
      </c>
      <c r="I8" s="117"/>
      <c r="J8" s="7">
        <v>3</v>
      </c>
      <c r="K8" s="117">
        <f>SUM('[47]titik ketiga'!G20)</f>
        <v>5607500</v>
      </c>
    </row>
    <row r="9" spans="1:12">
      <c r="A9" s="102">
        <v>2</v>
      </c>
      <c r="B9" s="75" t="s">
        <v>1120</v>
      </c>
      <c r="C9" s="1067" t="s">
        <v>1121</v>
      </c>
      <c r="D9" s="76">
        <v>220</v>
      </c>
      <c r="E9" s="76" t="s">
        <v>1122</v>
      </c>
      <c r="F9" s="77">
        <v>6800</v>
      </c>
      <c r="G9" s="78">
        <f t="shared" si="0"/>
        <v>1496000</v>
      </c>
      <c r="I9" s="117"/>
      <c r="J9" s="7">
        <v>4</v>
      </c>
      <c r="K9" s="117">
        <f>SUM('[47]titik ke enam'!G18)</f>
        <v>5207000</v>
      </c>
    </row>
    <row r="10" spans="1:12">
      <c r="A10" s="102">
        <v>3</v>
      </c>
      <c r="B10" s="40" t="s">
        <v>1118</v>
      </c>
      <c r="C10" s="1069" t="s">
        <v>1123</v>
      </c>
      <c r="D10" s="91">
        <v>50</v>
      </c>
      <c r="E10" s="108" t="s">
        <v>782</v>
      </c>
      <c r="F10" s="108">
        <v>18500</v>
      </c>
      <c r="G10" s="78">
        <f t="shared" si="0"/>
        <v>925000</v>
      </c>
      <c r="I10" s="121"/>
      <c r="J10" s="7">
        <v>5</v>
      </c>
      <c r="K10" s="117">
        <f>SUM('[47]titik kelima'!G20)</f>
        <v>5507000</v>
      </c>
    </row>
    <row r="11" spans="1:12">
      <c r="A11" s="102">
        <v>4</v>
      </c>
      <c r="B11" s="40" t="s">
        <v>1110</v>
      </c>
      <c r="C11" s="1069" t="s">
        <v>1123</v>
      </c>
      <c r="D11" s="91">
        <v>1</v>
      </c>
      <c r="E11" s="108" t="s">
        <v>822</v>
      </c>
      <c r="F11" s="108">
        <v>500000</v>
      </c>
      <c r="G11" s="78">
        <f t="shared" si="0"/>
        <v>500000</v>
      </c>
      <c r="I11" s="122"/>
      <c r="J11" s="7">
        <v>6</v>
      </c>
      <c r="K11" s="117">
        <f>SUM('[47]titik ke enam'!G18)</f>
        <v>5207000</v>
      </c>
    </row>
    <row r="12" spans="1:12">
      <c r="A12" s="102">
        <v>5</v>
      </c>
      <c r="B12" s="40" t="s">
        <v>1124</v>
      </c>
      <c r="C12" s="1069" t="s">
        <v>1123</v>
      </c>
      <c r="D12" s="91">
        <v>10</v>
      </c>
      <c r="E12" s="108" t="s">
        <v>822</v>
      </c>
      <c r="F12" s="108">
        <v>30000</v>
      </c>
      <c r="G12" s="78">
        <f t="shared" si="0"/>
        <v>300000</v>
      </c>
      <c r="I12" s="117"/>
      <c r="J12" s="7">
        <v>7</v>
      </c>
      <c r="K12" s="117">
        <f>SUM('[47]titik ketujuh'!G29)</f>
        <v>10692500</v>
      </c>
      <c r="L12" s="123">
        <f>SUM(K6:K12)</f>
        <v>47727500</v>
      </c>
    </row>
    <row r="13" spans="1:12">
      <c r="A13" s="102">
        <v>6</v>
      </c>
      <c r="B13" s="40" t="s">
        <v>1125</v>
      </c>
      <c r="C13" s="1069" t="s">
        <v>1123</v>
      </c>
      <c r="D13" s="91">
        <v>1</v>
      </c>
      <c r="E13" s="108" t="s">
        <v>822</v>
      </c>
      <c r="F13" s="108">
        <v>60000</v>
      </c>
      <c r="G13" s="78">
        <f t="shared" si="0"/>
        <v>60000</v>
      </c>
      <c r="J13" s="7">
        <v>8</v>
      </c>
      <c r="K13" s="117">
        <f>SUM('[47]titik 1'!G16)</f>
        <v>8219000</v>
      </c>
      <c r="L13" s="117"/>
    </row>
    <row r="14" spans="1:12">
      <c r="A14" s="102">
        <v>7</v>
      </c>
      <c r="B14" s="40" t="s">
        <v>1126</v>
      </c>
      <c r="C14" s="1069" t="s">
        <v>1127</v>
      </c>
      <c r="D14" s="91">
        <v>1</v>
      </c>
      <c r="E14" s="108" t="s">
        <v>822</v>
      </c>
      <c r="F14" s="108">
        <v>70000</v>
      </c>
      <c r="G14" s="78">
        <f t="shared" si="0"/>
        <v>70000</v>
      </c>
      <c r="J14" s="7" t="s">
        <v>1128</v>
      </c>
      <c r="K14" s="117">
        <f>SUM(G55)</f>
        <v>39120000</v>
      </c>
    </row>
    <row r="15" spans="1:12">
      <c r="A15" s="102">
        <v>8</v>
      </c>
      <c r="B15" s="40" t="s">
        <v>1129</v>
      </c>
      <c r="C15" s="1069" t="s">
        <v>1127</v>
      </c>
      <c r="D15" s="91">
        <v>1</v>
      </c>
      <c r="E15" s="108" t="s">
        <v>822</v>
      </c>
      <c r="F15" s="108">
        <v>500000</v>
      </c>
      <c r="G15" s="78">
        <f t="shared" si="0"/>
        <v>500000</v>
      </c>
      <c r="J15" s="7" t="s">
        <v>1130</v>
      </c>
      <c r="K15" s="117">
        <f>SUM('[47] LOMPO E'!G16)</f>
        <v>39425000</v>
      </c>
    </row>
    <row r="16" spans="1:12">
      <c r="A16" s="102">
        <v>9</v>
      </c>
      <c r="B16" s="40" t="s">
        <v>1118</v>
      </c>
      <c r="C16" s="1069" t="s">
        <v>1131</v>
      </c>
      <c r="D16" s="91">
        <v>25</v>
      </c>
      <c r="E16" s="108" t="s">
        <v>782</v>
      </c>
      <c r="F16" s="108">
        <v>18500</v>
      </c>
      <c r="G16" s="78">
        <f t="shared" si="0"/>
        <v>462500</v>
      </c>
      <c r="J16" s="7" t="s">
        <v>1132</v>
      </c>
      <c r="K16" s="117" t="e">
        <f>SUM(#REF!)</f>
        <v>#REF!</v>
      </c>
      <c r="L16" s="117" t="e">
        <f>SUM(K14+K16)</f>
        <v>#REF!</v>
      </c>
    </row>
    <row r="17" spans="1:11">
      <c r="A17" s="102">
        <v>10</v>
      </c>
      <c r="B17" s="40" t="s">
        <v>782</v>
      </c>
      <c r="C17" s="1069" t="s">
        <v>1133</v>
      </c>
      <c r="D17" s="91">
        <v>25</v>
      </c>
      <c r="E17" s="108" t="s">
        <v>782</v>
      </c>
      <c r="F17" s="108">
        <v>18500</v>
      </c>
      <c r="G17" s="78">
        <f t="shared" si="0"/>
        <v>462500</v>
      </c>
      <c r="K17" s="117" t="e">
        <f>SUM(K10:K16)</f>
        <v>#REF!</v>
      </c>
    </row>
    <row r="18" spans="1:11">
      <c r="A18" s="102">
        <v>11</v>
      </c>
      <c r="B18" s="40" t="s">
        <v>1110</v>
      </c>
      <c r="C18" s="1069" t="s">
        <v>1127</v>
      </c>
      <c r="D18" s="91">
        <v>1</v>
      </c>
      <c r="E18" s="108" t="s">
        <v>822</v>
      </c>
      <c r="F18" s="108">
        <v>500000</v>
      </c>
      <c r="G18" s="78">
        <f t="shared" si="0"/>
        <v>500000</v>
      </c>
    </row>
    <row r="19" spans="1:11">
      <c r="A19" s="102">
        <v>12</v>
      </c>
      <c r="B19" s="40" t="s">
        <v>782</v>
      </c>
      <c r="C19" s="1069" t="s">
        <v>1134</v>
      </c>
      <c r="D19" s="91">
        <v>15</v>
      </c>
      <c r="E19" s="108" t="s">
        <v>782</v>
      </c>
      <c r="F19" s="108">
        <v>18500</v>
      </c>
      <c r="G19" s="78">
        <f t="shared" si="0"/>
        <v>277500</v>
      </c>
    </row>
    <row r="20" spans="1:11">
      <c r="A20" s="102">
        <v>12</v>
      </c>
      <c r="B20" s="40" t="s">
        <v>782</v>
      </c>
      <c r="C20" s="1069" t="s">
        <v>579</v>
      </c>
      <c r="D20" s="91">
        <v>20</v>
      </c>
      <c r="E20" s="108" t="s">
        <v>782</v>
      </c>
      <c r="F20" s="108">
        <v>18500</v>
      </c>
      <c r="G20" s="78">
        <f t="shared" si="0"/>
        <v>370000</v>
      </c>
    </row>
    <row r="21" spans="1:11">
      <c r="A21" s="102">
        <v>13</v>
      </c>
      <c r="B21" s="40" t="s">
        <v>782</v>
      </c>
      <c r="C21" s="1069" t="s">
        <v>1135</v>
      </c>
      <c r="D21" s="91">
        <v>20</v>
      </c>
      <c r="E21" s="108" t="s">
        <v>782</v>
      </c>
      <c r="F21" s="108">
        <v>18500</v>
      </c>
      <c r="G21" s="78">
        <f t="shared" si="0"/>
        <v>370000</v>
      </c>
    </row>
    <row r="22" spans="1:11">
      <c r="A22" s="102">
        <v>14</v>
      </c>
      <c r="B22" s="40" t="s">
        <v>782</v>
      </c>
      <c r="C22" s="1069" t="s">
        <v>1136</v>
      </c>
      <c r="D22" s="91">
        <v>10</v>
      </c>
      <c r="E22" s="108" t="s">
        <v>782</v>
      </c>
      <c r="F22" s="108">
        <v>18500</v>
      </c>
      <c r="G22" s="78">
        <f t="shared" si="0"/>
        <v>185000</v>
      </c>
      <c r="I22" s="107">
        <f>SUM(G21:G25)</f>
        <v>4480000</v>
      </c>
    </row>
    <row r="23" spans="1:11">
      <c r="A23" s="102">
        <v>15</v>
      </c>
      <c r="B23" s="40" t="s">
        <v>1120</v>
      </c>
      <c r="C23" s="1069" t="s">
        <v>1137</v>
      </c>
      <c r="D23" s="91">
        <v>1</v>
      </c>
      <c r="E23" s="108" t="s">
        <v>822</v>
      </c>
      <c r="F23" s="108">
        <v>1500000</v>
      </c>
      <c r="G23" s="78">
        <f t="shared" si="0"/>
        <v>1500000</v>
      </c>
    </row>
    <row r="24" spans="1:11">
      <c r="A24" s="102">
        <v>16</v>
      </c>
      <c r="B24" s="40" t="s">
        <v>782</v>
      </c>
      <c r="C24" s="1069" t="s">
        <v>1138</v>
      </c>
      <c r="D24" s="91">
        <v>50</v>
      </c>
      <c r="E24" s="108" t="s">
        <v>1063</v>
      </c>
      <c r="F24" s="108">
        <v>18500</v>
      </c>
      <c r="G24" s="78">
        <f t="shared" si="0"/>
        <v>925000</v>
      </c>
    </row>
    <row r="25" spans="1:11">
      <c r="A25" s="102">
        <v>17</v>
      </c>
      <c r="B25" s="40" t="s">
        <v>1120</v>
      </c>
      <c r="C25" s="1069" t="s">
        <v>1139</v>
      </c>
      <c r="D25" s="91">
        <v>1</v>
      </c>
      <c r="E25" s="108" t="s">
        <v>822</v>
      </c>
      <c r="F25" s="108">
        <v>1500000</v>
      </c>
      <c r="G25" s="78">
        <f t="shared" si="0"/>
        <v>1500000</v>
      </c>
    </row>
    <row r="26" spans="1:11">
      <c r="A26" s="102">
        <v>18</v>
      </c>
      <c r="B26" s="40" t="s">
        <v>782</v>
      </c>
      <c r="C26" s="1071" t="s">
        <v>1139</v>
      </c>
      <c r="D26" s="91">
        <v>50</v>
      </c>
      <c r="E26" s="108" t="s">
        <v>1063</v>
      </c>
      <c r="F26" s="108">
        <v>18500</v>
      </c>
      <c r="G26" s="78">
        <f t="shared" si="0"/>
        <v>925000</v>
      </c>
    </row>
    <row r="27" spans="1:11">
      <c r="A27" s="102">
        <v>19</v>
      </c>
      <c r="B27" s="125" t="s">
        <v>1120</v>
      </c>
      <c r="C27" s="1070" t="s">
        <v>1140</v>
      </c>
      <c r="D27" s="126">
        <v>1</v>
      </c>
      <c r="E27" s="93" t="s">
        <v>822</v>
      </c>
      <c r="F27" s="127">
        <v>1500000</v>
      </c>
      <c r="G27" s="78">
        <f t="shared" si="0"/>
        <v>1500000</v>
      </c>
    </row>
    <row r="28" spans="1:11">
      <c r="A28" s="102">
        <v>20</v>
      </c>
      <c r="B28" s="125" t="s">
        <v>1118</v>
      </c>
      <c r="C28" s="1070" t="s">
        <v>1140</v>
      </c>
      <c r="D28" s="126">
        <v>50</v>
      </c>
      <c r="E28" s="93" t="s">
        <v>1063</v>
      </c>
      <c r="F28" s="128">
        <v>18500</v>
      </c>
      <c r="G28" s="78">
        <f t="shared" si="0"/>
        <v>925000</v>
      </c>
    </row>
    <row r="29" spans="1:11">
      <c r="A29" s="102">
        <v>21</v>
      </c>
      <c r="B29" s="125" t="s">
        <v>782</v>
      </c>
      <c r="C29" s="1070" t="s">
        <v>1141</v>
      </c>
      <c r="D29" s="126">
        <v>20</v>
      </c>
      <c r="E29" s="93" t="s">
        <v>1063</v>
      </c>
      <c r="F29" s="128">
        <v>20000</v>
      </c>
      <c r="G29" s="129">
        <f t="shared" si="0"/>
        <v>400000</v>
      </c>
    </row>
    <row r="30" spans="1:11">
      <c r="A30" s="102">
        <v>22</v>
      </c>
      <c r="B30" s="130" t="s">
        <v>1142</v>
      </c>
      <c r="C30" s="1070" t="s">
        <v>1143</v>
      </c>
      <c r="D30" s="126">
        <v>1</v>
      </c>
      <c r="E30" s="93" t="s">
        <v>822</v>
      </c>
      <c r="F30" s="128">
        <v>3477500</v>
      </c>
      <c r="G30" s="129">
        <f t="shared" si="0"/>
        <v>3477500</v>
      </c>
    </row>
    <row r="31" spans="1:11">
      <c r="A31" s="102">
        <v>23</v>
      </c>
      <c r="B31" s="125" t="s">
        <v>782</v>
      </c>
      <c r="C31" s="1070" t="s">
        <v>1144</v>
      </c>
      <c r="D31" s="126">
        <v>50</v>
      </c>
      <c r="E31" s="93" t="s">
        <v>1063</v>
      </c>
      <c r="F31" s="128">
        <v>18500</v>
      </c>
      <c r="G31" s="129">
        <f t="shared" si="0"/>
        <v>925000</v>
      </c>
    </row>
    <row r="32" spans="1:11">
      <c r="A32" s="102">
        <v>24</v>
      </c>
      <c r="B32" s="125" t="s">
        <v>782</v>
      </c>
      <c r="C32" s="1070" t="s">
        <v>1145</v>
      </c>
      <c r="D32" s="126">
        <v>19</v>
      </c>
      <c r="E32" s="93" t="s">
        <v>1063</v>
      </c>
      <c r="F32" s="128">
        <v>18500</v>
      </c>
      <c r="G32" s="129">
        <f t="shared" si="0"/>
        <v>351500</v>
      </c>
    </row>
    <row r="33" spans="1:7">
      <c r="A33" s="102">
        <v>25</v>
      </c>
      <c r="B33" s="125" t="s">
        <v>782</v>
      </c>
      <c r="C33" s="1070" t="s">
        <v>1049</v>
      </c>
      <c r="D33" s="126">
        <v>10</v>
      </c>
      <c r="E33" s="93" t="s">
        <v>1063</v>
      </c>
      <c r="F33" s="128">
        <v>20000</v>
      </c>
      <c r="G33" s="129">
        <f t="shared" si="0"/>
        <v>200000</v>
      </c>
    </row>
    <row r="34" spans="1:7">
      <c r="A34" s="102">
        <v>26</v>
      </c>
      <c r="B34" s="125" t="s">
        <v>782</v>
      </c>
      <c r="C34" s="1070" t="s">
        <v>1146</v>
      </c>
      <c r="D34" s="126">
        <v>20</v>
      </c>
      <c r="E34" s="93" t="s">
        <v>1063</v>
      </c>
      <c r="F34" s="128">
        <v>18500</v>
      </c>
      <c r="G34" s="129">
        <f t="shared" si="0"/>
        <v>370000</v>
      </c>
    </row>
    <row r="35" spans="1:7">
      <c r="A35" s="102">
        <v>27</v>
      </c>
      <c r="B35" s="125" t="s">
        <v>782</v>
      </c>
      <c r="C35" s="1070" t="s">
        <v>1147</v>
      </c>
      <c r="D35" s="126">
        <v>50</v>
      </c>
      <c r="E35" s="93" t="s">
        <v>1063</v>
      </c>
      <c r="F35" s="128">
        <v>18500</v>
      </c>
      <c r="G35" s="129">
        <f t="shared" si="0"/>
        <v>925000</v>
      </c>
    </row>
    <row r="36" spans="1:7">
      <c r="A36" s="102">
        <v>28</v>
      </c>
      <c r="B36" s="125" t="s">
        <v>1120</v>
      </c>
      <c r="C36" s="1070" t="s">
        <v>1148</v>
      </c>
      <c r="D36" s="126">
        <v>1</v>
      </c>
      <c r="E36" s="93" t="s">
        <v>822</v>
      </c>
      <c r="F36" s="128">
        <v>1500000</v>
      </c>
      <c r="G36" s="129">
        <f t="shared" si="0"/>
        <v>1500000</v>
      </c>
    </row>
    <row r="37" spans="1:7">
      <c r="A37" s="102">
        <v>29</v>
      </c>
      <c r="B37" s="125" t="s">
        <v>782</v>
      </c>
      <c r="C37" s="1070" t="s">
        <v>1148</v>
      </c>
      <c r="D37" s="126">
        <v>50</v>
      </c>
      <c r="E37" s="93" t="s">
        <v>1063</v>
      </c>
      <c r="F37" s="131">
        <v>18500</v>
      </c>
      <c r="G37" s="129">
        <f t="shared" si="0"/>
        <v>925000</v>
      </c>
    </row>
    <row r="38" spans="1:7">
      <c r="A38" s="102">
        <v>30</v>
      </c>
      <c r="B38" s="125" t="s">
        <v>1149</v>
      </c>
      <c r="C38" s="1070" t="s">
        <v>1150</v>
      </c>
      <c r="D38" s="126">
        <v>1</v>
      </c>
      <c r="E38" s="93" t="s">
        <v>822</v>
      </c>
      <c r="F38" s="131">
        <v>2000000</v>
      </c>
      <c r="G38" s="129">
        <f t="shared" si="0"/>
        <v>2000000</v>
      </c>
    </row>
    <row r="39" spans="1:7">
      <c r="A39" s="102">
        <v>31</v>
      </c>
      <c r="B39" s="125" t="s">
        <v>782</v>
      </c>
      <c r="C39" s="1070" t="s">
        <v>1150</v>
      </c>
      <c r="D39" s="126">
        <v>25</v>
      </c>
      <c r="E39" s="93"/>
      <c r="F39" s="131">
        <v>18500</v>
      </c>
      <c r="G39" s="129">
        <f t="shared" si="0"/>
        <v>462500</v>
      </c>
    </row>
    <row r="40" spans="1:7">
      <c r="A40" s="102">
        <v>32</v>
      </c>
      <c r="B40" s="125" t="s">
        <v>782</v>
      </c>
      <c r="C40" s="1070" t="s">
        <v>1151</v>
      </c>
      <c r="D40" s="126">
        <v>50</v>
      </c>
      <c r="E40" s="93" t="s">
        <v>1063</v>
      </c>
      <c r="F40" s="131">
        <v>18500</v>
      </c>
      <c r="G40" s="129">
        <f t="shared" si="0"/>
        <v>925000</v>
      </c>
    </row>
    <row r="41" spans="1:7">
      <c r="A41" s="102">
        <v>33</v>
      </c>
      <c r="B41" s="125" t="s">
        <v>782</v>
      </c>
      <c r="C41" s="1070" t="s">
        <v>1152</v>
      </c>
      <c r="D41" s="126">
        <v>50</v>
      </c>
      <c r="E41" s="93" t="s">
        <v>1063</v>
      </c>
      <c r="F41" s="131">
        <v>18500</v>
      </c>
      <c r="G41" s="129">
        <f t="shared" si="0"/>
        <v>925000</v>
      </c>
    </row>
    <row r="42" spans="1:7">
      <c r="A42" s="102">
        <v>34</v>
      </c>
      <c r="B42" s="125" t="s">
        <v>782</v>
      </c>
      <c r="C42" s="1070" t="s">
        <v>1153</v>
      </c>
      <c r="D42" s="126">
        <v>50</v>
      </c>
      <c r="E42" s="93" t="s">
        <v>1063</v>
      </c>
      <c r="F42" s="131">
        <v>18500</v>
      </c>
      <c r="G42" s="129">
        <f t="shared" si="0"/>
        <v>925000</v>
      </c>
    </row>
    <row r="43" spans="1:7">
      <c r="A43" s="102">
        <v>35</v>
      </c>
      <c r="B43" s="125" t="s">
        <v>1149</v>
      </c>
      <c r="C43" s="1070" t="s">
        <v>1153</v>
      </c>
      <c r="D43" s="126">
        <v>1</v>
      </c>
      <c r="E43" s="93" t="s">
        <v>822</v>
      </c>
      <c r="F43" s="131">
        <v>1500000</v>
      </c>
      <c r="G43" s="129">
        <f t="shared" si="0"/>
        <v>1500000</v>
      </c>
    </row>
    <row r="44" spans="1:7">
      <c r="A44" s="102">
        <v>36</v>
      </c>
      <c r="B44" s="125" t="s">
        <v>782</v>
      </c>
      <c r="C44" s="1070" t="s">
        <v>1154</v>
      </c>
      <c r="D44" s="126">
        <v>50</v>
      </c>
      <c r="E44" s="93" t="s">
        <v>1063</v>
      </c>
      <c r="F44" s="131">
        <v>18500</v>
      </c>
      <c r="G44" s="129">
        <f t="shared" si="0"/>
        <v>925000</v>
      </c>
    </row>
    <row r="45" spans="1:7">
      <c r="A45" s="102">
        <v>37</v>
      </c>
      <c r="B45" s="125" t="s">
        <v>1149</v>
      </c>
      <c r="C45" s="1070" t="s">
        <v>1154</v>
      </c>
      <c r="D45" s="126">
        <v>1</v>
      </c>
      <c r="E45" s="93" t="s">
        <v>822</v>
      </c>
      <c r="F45" s="131">
        <v>2000000</v>
      </c>
      <c r="G45" s="129">
        <f t="shared" si="0"/>
        <v>2000000</v>
      </c>
    </row>
    <row r="46" spans="1:7">
      <c r="A46" s="102">
        <v>38</v>
      </c>
      <c r="B46" s="125" t="s">
        <v>782</v>
      </c>
      <c r="C46" s="1070" t="s">
        <v>596</v>
      </c>
      <c r="D46" s="126">
        <v>50</v>
      </c>
      <c r="E46" s="93" t="s">
        <v>1063</v>
      </c>
      <c r="F46" s="131">
        <v>18500</v>
      </c>
      <c r="G46" s="129">
        <f t="shared" si="0"/>
        <v>925000</v>
      </c>
    </row>
    <row r="47" spans="1:7">
      <c r="A47" s="102">
        <v>39</v>
      </c>
      <c r="B47" s="87" t="s">
        <v>782</v>
      </c>
      <c r="C47" s="1068" t="s">
        <v>1155</v>
      </c>
      <c r="D47" s="93">
        <v>50</v>
      </c>
      <c r="E47" s="87" t="s">
        <v>1063</v>
      </c>
      <c r="F47" s="134">
        <v>18500</v>
      </c>
      <c r="G47" s="129">
        <f>F50*D50</f>
        <v>925000</v>
      </c>
    </row>
    <row r="48" spans="1:7">
      <c r="A48" s="102">
        <v>40</v>
      </c>
      <c r="B48" s="125" t="s">
        <v>782</v>
      </c>
      <c r="C48" s="1070" t="s">
        <v>1156</v>
      </c>
      <c r="D48" s="126">
        <v>50</v>
      </c>
      <c r="E48" s="93" t="s">
        <v>1063</v>
      </c>
      <c r="F48" s="131">
        <v>18500</v>
      </c>
      <c r="G48" s="129">
        <f t="shared" ref="G48:G54" si="1">F48*D48</f>
        <v>925000</v>
      </c>
    </row>
    <row r="49" spans="1:9">
      <c r="A49" s="102">
        <v>41</v>
      </c>
      <c r="B49" s="125" t="s">
        <v>1149</v>
      </c>
      <c r="C49" s="1070" t="s">
        <v>1157</v>
      </c>
      <c r="D49" s="126">
        <v>1</v>
      </c>
      <c r="E49" s="93" t="s">
        <v>822</v>
      </c>
      <c r="F49" s="131">
        <v>2000000</v>
      </c>
      <c r="G49" s="129">
        <f t="shared" si="1"/>
        <v>2000000</v>
      </c>
    </row>
    <row r="50" spans="1:9">
      <c r="A50" s="102">
        <v>42</v>
      </c>
      <c r="B50" s="125" t="s">
        <v>782</v>
      </c>
      <c r="C50" s="1070" t="s">
        <v>1158</v>
      </c>
      <c r="D50" s="126">
        <v>50</v>
      </c>
      <c r="E50" s="93" t="s">
        <v>1063</v>
      </c>
      <c r="F50" s="131">
        <v>18500</v>
      </c>
      <c r="G50" s="129">
        <f t="shared" si="1"/>
        <v>925000</v>
      </c>
    </row>
    <row r="51" spans="1:9">
      <c r="A51" s="102"/>
      <c r="B51" s="125"/>
      <c r="C51" s="125"/>
      <c r="D51" s="126"/>
      <c r="E51" s="93"/>
      <c r="F51" s="131"/>
      <c r="G51" s="129">
        <f t="shared" si="1"/>
        <v>0</v>
      </c>
    </row>
    <row r="52" spans="1:9">
      <c r="A52" s="102"/>
      <c r="B52" s="125"/>
      <c r="C52" s="125"/>
      <c r="D52" s="126"/>
      <c r="E52" s="93"/>
      <c r="F52" s="131"/>
      <c r="G52" s="129">
        <f t="shared" si="1"/>
        <v>0</v>
      </c>
    </row>
    <row r="53" spans="1:9">
      <c r="A53" s="102"/>
      <c r="B53" s="125"/>
      <c r="C53" s="125"/>
      <c r="D53" s="126"/>
      <c r="E53" s="93"/>
      <c r="F53" s="131"/>
      <c r="G53" s="129">
        <f t="shared" si="1"/>
        <v>0</v>
      </c>
    </row>
    <row r="54" spans="1:9">
      <c r="A54" s="102"/>
      <c r="B54" s="125"/>
      <c r="C54" s="125"/>
      <c r="D54" s="126"/>
      <c r="E54" s="93"/>
      <c r="F54" s="131"/>
      <c r="G54" s="129">
        <f t="shared" si="1"/>
        <v>0</v>
      </c>
    </row>
    <row r="55" spans="1:9">
      <c r="A55" s="93"/>
      <c r="B55" s="132" t="s">
        <v>111</v>
      </c>
      <c r="C55" s="132"/>
      <c r="D55" s="133"/>
      <c r="E55" s="132"/>
      <c r="F55" s="132"/>
      <c r="G55" s="111">
        <f>SUM(G8:G54)</f>
        <v>39120000</v>
      </c>
      <c r="I55" s="65">
        <f>SUM(KASHAR!K91)</f>
        <v>36588400</v>
      </c>
    </row>
    <row r="56" spans="1:9">
      <c r="A56" s="112" t="s">
        <v>113</v>
      </c>
      <c r="B56" s="112"/>
      <c r="C56" s="112"/>
      <c r="D56" s="112"/>
      <c r="E56" s="112"/>
      <c r="F56" s="112"/>
      <c r="G56" s="112"/>
      <c r="I56" s="65">
        <f>SUM(G55-I55)</f>
        <v>2531600</v>
      </c>
    </row>
    <row r="57" spans="1:9">
      <c r="A57" s="6" t="s">
        <v>829</v>
      </c>
      <c r="B57" s="6"/>
      <c r="C57" s="6"/>
      <c r="D57" s="6"/>
      <c r="E57" s="6"/>
      <c r="F57" s="6"/>
      <c r="G57" s="6"/>
    </row>
    <row r="58" spans="1:9">
      <c r="B58" s="6"/>
      <c r="C58" s="6"/>
      <c r="G58" s="113"/>
    </row>
    <row r="59" spans="1:9">
      <c r="B59" s="113"/>
      <c r="C59" s="113"/>
      <c r="E59" s="113" t="s">
        <v>830</v>
      </c>
      <c r="F59" s="113"/>
      <c r="G59" s="113"/>
    </row>
    <row r="60" spans="1:9">
      <c r="B60" s="113" t="s">
        <v>115</v>
      </c>
      <c r="C60" s="113"/>
      <c r="E60" s="113" t="s">
        <v>639</v>
      </c>
      <c r="F60" s="113"/>
      <c r="G60" s="113"/>
    </row>
    <row r="63" spans="1:9">
      <c r="F63" s="114"/>
    </row>
    <row r="64" spans="1:9">
      <c r="B64" s="115" t="s">
        <v>117</v>
      </c>
      <c r="C64" s="115"/>
      <c r="D64" s="116"/>
      <c r="E64" s="115" t="s">
        <v>118</v>
      </c>
      <c r="F64" s="115"/>
      <c r="G64" s="115"/>
    </row>
    <row r="65" spans="1:6">
      <c r="E65" s="113"/>
      <c r="F65" s="6"/>
    </row>
    <row r="66" spans="1:6">
      <c r="A66" s="6"/>
      <c r="F66" s="117"/>
    </row>
    <row r="67" spans="1:6">
      <c r="A67" s="6"/>
    </row>
  </sheetData>
  <mergeCells count="11">
    <mergeCell ref="A1:G1"/>
    <mergeCell ref="A2:G2"/>
    <mergeCell ref="A3:B3"/>
    <mergeCell ref="D3:F3"/>
    <mergeCell ref="A4:B4"/>
    <mergeCell ref="A5:B5"/>
    <mergeCell ref="A56:G56"/>
    <mergeCell ref="A57:G57"/>
    <mergeCell ref="E59:G59"/>
    <mergeCell ref="E60:G60"/>
    <mergeCell ref="E64:G64"/>
  </mergeCells>
  <pageMargins left="0.75" right="0.75" top="1" bottom="1" header="0.5" footer="0.5"/>
  <pageSetup paperSize="1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5"/>
  <sheetViews>
    <sheetView topLeftCell="A26" workbookViewId="0">
      <selection activeCell="I31" sqref="I31"/>
    </sheetView>
  </sheetViews>
  <sheetFormatPr defaultColWidth="8.72727272727273" defaultRowHeight="14.5"/>
  <cols>
    <col min="1" max="1" width="6.09090909090909" style="7" customWidth="1"/>
    <col min="2" max="2" width="16.1818181818182" style="7" customWidth="1"/>
    <col min="3" max="3" width="12" style="7" customWidth="1"/>
    <col min="4" max="5" width="8.72727272727273" style="7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20.4545454545455" style="7" customWidth="1"/>
    <col min="11" max="11" width="14.4545454545455" style="7"/>
    <col min="12" max="12" width="11.5454545454545" style="7"/>
    <col min="13" max="16384" width="8.72727272727273" style="7"/>
  </cols>
  <sheetData>
    <row r="1" spans="1:12">
      <c r="A1" s="96" t="s">
        <v>0</v>
      </c>
      <c r="B1" s="96"/>
      <c r="C1" s="96"/>
      <c r="D1" s="96"/>
      <c r="E1" s="96"/>
      <c r="F1" s="96"/>
      <c r="G1" s="96"/>
    </row>
    <row r="2" spans="1:12">
      <c r="A2" s="97" t="s">
        <v>1117</v>
      </c>
      <c r="B2" s="97"/>
      <c r="C2" s="97"/>
      <c r="D2" s="97"/>
      <c r="E2" s="97"/>
      <c r="F2" s="97"/>
      <c r="G2" s="97"/>
    </row>
    <row r="3" spans="1:12">
      <c r="A3" s="98" t="s">
        <v>204</v>
      </c>
      <c r="B3" s="98"/>
      <c r="C3" s="98"/>
      <c r="D3" s="6" t="s">
        <v>122</v>
      </c>
      <c r="E3" s="6"/>
      <c r="F3" s="6"/>
    </row>
    <row r="4" spans="1:12">
      <c r="A4" s="98" t="s">
        <v>123</v>
      </c>
      <c r="B4" s="98"/>
      <c r="C4" s="98"/>
      <c r="D4" s="6" t="s">
        <v>124</v>
      </c>
    </row>
    <row r="5" spans="1:12">
      <c r="A5" s="98" t="s">
        <v>125</v>
      </c>
      <c r="B5" s="98"/>
      <c r="C5" s="98"/>
      <c r="D5" s="6" t="s">
        <v>126</v>
      </c>
      <c r="L5" s="99"/>
    </row>
    <row r="6" ht="29" spans="1:12">
      <c r="A6" s="100" t="s">
        <v>803</v>
      </c>
      <c r="B6" s="100" t="s">
        <v>816</v>
      </c>
      <c r="C6" s="100" t="s">
        <v>1055</v>
      </c>
      <c r="D6" s="101" t="s">
        <v>817</v>
      </c>
      <c r="E6" s="101" t="s">
        <v>818</v>
      </c>
      <c r="F6" s="101" t="s">
        <v>819</v>
      </c>
      <c r="G6" s="100" t="s">
        <v>820</v>
      </c>
      <c r="J6" s="7">
        <v>1</v>
      </c>
      <c r="K6" s="117">
        <f>SUM('[47]titik satu'!G31)</f>
        <v>7885500</v>
      </c>
    </row>
    <row r="7" spans="1:12">
      <c r="A7" s="118"/>
      <c r="B7" s="118"/>
      <c r="C7" s="118"/>
      <c r="D7" s="119"/>
      <c r="E7" s="119"/>
      <c r="F7" s="119"/>
      <c r="G7" s="120"/>
      <c r="J7" s="7">
        <v>2</v>
      </c>
      <c r="K7" s="117">
        <f>SUM('[47]titik kedua'!G26)</f>
        <v>7621000</v>
      </c>
    </row>
    <row r="8" spans="1:12">
      <c r="A8" s="102">
        <v>1</v>
      </c>
      <c r="B8" s="75" t="s">
        <v>1159</v>
      </c>
      <c r="C8" s="1067" t="s">
        <v>1160</v>
      </c>
      <c r="D8" s="76">
        <v>200</v>
      </c>
      <c r="E8" s="76" t="s">
        <v>1161</v>
      </c>
      <c r="F8" s="77">
        <v>2000</v>
      </c>
      <c r="G8" s="78">
        <f t="shared" ref="G8:G26" si="0">F8*D8</f>
        <v>400000</v>
      </c>
      <c r="I8" s="117"/>
      <c r="J8" s="7">
        <v>3</v>
      </c>
      <c r="K8" s="117">
        <f>SUM('[47]titik ketiga'!G20)</f>
        <v>5607500</v>
      </c>
    </row>
    <row r="9" spans="1:12">
      <c r="A9" s="102">
        <v>2</v>
      </c>
      <c r="B9" s="75" t="s">
        <v>1162</v>
      </c>
      <c r="C9" s="1067" t="s">
        <v>1160</v>
      </c>
      <c r="D9" s="76">
        <v>1</v>
      </c>
      <c r="E9" s="76" t="s">
        <v>822</v>
      </c>
      <c r="F9" s="77">
        <v>50000</v>
      </c>
      <c r="G9" s="78">
        <f t="shared" si="0"/>
        <v>50000</v>
      </c>
      <c r="I9" s="117"/>
      <c r="J9" s="7">
        <v>4</v>
      </c>
      <c r="K9" s="117">
        <f>SUM('[47]titik ke enam'!G18)</f>
        <v>5207000</v>
      </c>
    </row>
    <row r="10" spans="1:12">
      <c r="A10" s="102">
        <v>3</v>
      </c>
      <c r="B10" s="40" t="s">
        <v>1120</v>
      </c>
      <c r="C10" s="1069" t="s">
        <v>1163</v>
      </c>
      <c r="D10" s="91">
        <v>143</v>
      </c>
      <c r="E10" s="108" t="s">
        <v>1122</v>
      </c>
      <c r="F10" s="108">
        <v>7000</v>
      </c>
      <c r="G10" s="78">
        <f t="shared" si="0"/>
        <v>1001000</v>
      </c>
      <c r="I10" s="121"/>
      <c r="J10" s="7">
        <v>5</v>
      </c>
      <c r="K10" s="117">
        <f>SUM('[47]titik kelima'!G20)</f>
        <v>5507000</v>
      </c>
    </row>
    <row r="11" spans="1:12">
      <c r="A11" s="102">
        <v>4</v>
      </c>
      <c r="B11" s="40" t="s">
        <v>1118</v>
      </c>
      <c r="C11" s="1069" t="s">
        <v>1163</v>
      </c>
      <c r="D11" s="91">
        <v>50</v>
      </c>
      <c r="E11" s="108" t="s">
        <v>782</v>
      </c>
      <c r="F11" s="108">
        <v>18500</v>
      </c>
      <c r="G11" s="78">
        <f t="shared" si="0"/>
        <v>925000</v>
      </c>
      <c r="I11" s="122"/>
      <c r="J11" s="7">
        <v>6</v>
      </c>
      <c r="K11" s="117">
        <f>SUM('[47]titik ke enam'!G18)</f>
        <v>5207000</v>
      </c>
    </row>
    <row r="12" spans="1:12">
      <c r="A12" s="102">
        <v>5</v>
      </c>
      <c r="B12" s="40" t="s">
        <v>1120</v>
      </c>
      <c r="C12" s="1069" t="s">
        <v>1164</v>
      </c>
      <c r="D12" s="91">
        <v>1</v>
      </c>
      <c r="E12" s="108" t="s">
        <v>822</v>
      </c>
      <c r="F12" s="108">
        <v>1500000</v>
      </c>
      <c r="G12" s="78">
        <f t="shared" si="0"/>
        <v>1500000</v>
      </c>
      <c r="I12" s="117"/>
      <c r="J12" s="7">
        <v>7</v>
      </c>
      <c r="K12" s="117">
        <f>SUM('[47]titik ketujuh'!G29)</f>
        <v>10692500</v>
      </c>
      <c r="L12" s="123">
        <f>SUM(K6:K12)</f>
        <v>47727500</v>
      </c>
    </row>
    <row r="13" spans="1:12">
      <c r="A13" s="102">
        <v>6</v>
      </c>
      <c r="B13" s="40" t="s">
        <v>1120</v>
      </c>
      <c r="C13" s="1069" t="s">
        <v>1165</v>
      </c>
      <c r="D13" s="91">
        <v>1</v>
      </c>
      <c r="E13" s="108" t="s">
        <v>822</v>
      </c>
      <c r="F13" s="108">
        <v>1500000</v>
      </c>
      <c r="G13" s="78">
        <f t="shared" si="0"/>
        <v>1500000</v>
      </c>
      <c r="J13" s="7">
        <v>8</v>
      </c>
      <c r="K13" s="117">
        <f>SUM('[47]titik 1'!G16)</f>
        <v>8219000</v>
      </c>
      <c r="L13" s="117"/>
    </row>
    <row r="14" spans="1:12">
      <c r="A14" s="102">
        <v>7</v>
      </c>
      <c r="B14" s="40" t="s">
        <v>1120</v>
      </c>
      <c r="C14" s="1069" t="s">
        <v>1166</v>
      </c>
      <c r="D14" s="91">
        <v>1</v>
      </c>
      <c r="E14" s="108" t="s">
        <v>822</v>
      </c>
      <c r="F14" s="108">
        <v>1050000</v>
      </c>
      <c r="G14" s="78">
        <f t="shared" si="0"/>
        <v>1050000</v>
      </c>
      <c r="J14" s="7" t="s">
        <v>1128</v>
      </c>
      <c r="K14" s="117">
        <f>SUM(G43)</f>
        <v>33096000</v>
      </c>
    </row>
    <row r="15" spans="1:12">
      <c r="A15" s="102">
        <v>8</v>
      </c>
      <c r="B15" s="40" t="s">
        <v>1120</v>
      </c>
      <c r="C15" s="1069" t="s">
        <v>1141</v>
      </c>
      <c r="D15" s="91">
        <v>1</v>
      </c>
      <c r="E15" s="108" t="s">
        <v>822</v>
      </c>
      <c r="F15" s="108">
        <v>1500000</v>
      </c>
      <c r="G15" s="78">
        <f t="shared" si="0"/>
        <v>1500000</v>
      </c>
      <c r="J15" s="7" t="s">
        <v>1130</v>
      </c>
      <c r="K15" s="117">
        <f>SUM('[47] LOMPO E'!G16)</f>
        <v>39425000</v>
      </c>
    </row>
    <row r="16" spans="1:12">
      <c r="A16" s="102">
        <v>9</v>
      </c>
      <c r="B16" s="40" t="s">
        <v>1120</v>
      </c>
      <c r="C16" s="1069" t="s">
        <v>1144</v>
      </c>
      <c r="D16" s="91">
        <v>1</v>
      </c>
      <c r="E16" s="108" t="s">
        <v>822</v>
      </c>
      <c r="F16" s="108">
        <v>1500000</v>
      </c>
      <c r="G16" s="78">
        <f t="shared" si="0"/>
        <v>1500000</v>
      </c>
      <c r="J16" s="7" t="s">
        <v>1132</v>
      </c>
      <c r="K16" s="117" t="e">
        <f>SUM(#REF!)</f>
        <v>#REF!</v>
      </c>
      <c r="L16" s="117" t="e">
        <f>SUM(K14+K16)</f>
        <v>#REF!</v>
      </c>
    </row>
    <row r="17" spans="1:11">
      <c r="A17" s="102">
        <v>10</v>
      </c>
      <c r="B17" s="40" t="s">
        <v>1120</v>
      </c>
      <c r="C17" s="1069" t="s">
        <v>754</v>
      </c>
      <c r="D17" s="91">
        <v>1</v>
      </c>
      <c r="E17" s="108" t="s">
        <v>822</v>
      </c>
      <c r="F17" s="108">
        <v>1500000</v>
      </c>
      <c r="G17" s="78">
        <f t="shared" si="0"/>
        <v>1500000</v>
      </c>
      <c r="K17" s="117" t="e">
        <f>SUM(K10:K16)</f>
        <v>#REF!</v>
      </c>
    </row>
    <row r="18" spans="1:11">
      <c r="A18" s="102">
        <v>11</v>
      </c>
      <c r="B18" s="40" t="s">
        <v>1149</v>
      </c>
      <c r="C18" s="1069" t="s">
        <v>1049</v>
      </c>
      <c r="D18" s="91">
        <v>1</v>
      </c>
      <c r="E18" s="108" t="s">
        <v>822</v>
      </c>
      <c r="F18" s="108">
        <v>1500000</v>
      </c>
      <c r="G18" s="78">
        <f t="shared" si="0"/>
        <v>1500000</v>
      </c>
    </row>
    <row r="19" spans="1:11">
      <c r="A19" s="102">
        <v>12</v>
      </c>
      <c r="B19" s="40" t="s">
        <v>1149</v>
      </c>
      <c r="C19" s="1069" t="s">
        <v>1167</v>
      </c>
      <c r="D19" s="91">
        <v>1</v>
      </c>
      <c r="E19" s="108" t="s">
        <v>822</v>
      </c>
      <c r="F19" s="108">
        <v>1500000</v>
      </c>
      <c r="G19" s="78">
        <f t="shared" si="0"/>
        <v>1500000</v>
      </c>
    </row>
    <row r="20" spans="1:11">
      <c r="A20" s="102">
        <v>12</v>
      </c>
      <c r="B20" s="40" t="s">
        <v>1120</v>
      </c>
      <c r="C20" s="1069" t="s">
        <v>1147</v>
      </c>
      <c r="D20" s="91">
        <v>1</v>
      </c>
      <c r="E20" s="108" t="s">
        <v>822</v>
      </c>
      <c r="F20" s="108">
        <v>1500000</v>
      </c>
      <c r="G20" s="78">
        <f t="shared" si="0"/>
        <v>1500000</v>
      </c>
    </row>
    <row r="21" spans="1:11">
      <c r="A21" s="102">
        <v>13</v>
      </c>
      <c r="B21" s="40" t="s">
        <v>1149</v>
      </c>
      <c r="C21" s="1069" t="s">
        <v>1168</v>
      </c>
      <c r="D21" s="91">
        <v>1</v>
      </c>
      <c r="E21" s="108" t="s">
        <v>822</v>
      </c>
      <c r="F21" s="108">
        <v>1500000</v>
      </c>
      <c r="G21" s="78">
        <f t="shared" si="0"/>
        <v>1500000</v>
      </c>
    </row>
    <row r="22" spans="1:11">
      <c r="A22" s="102">
        <v>14</v>
      </c>
      <c r="B22" s="40" t="s">
        <v>1142</v>
      </c>
      <c r="C22" s="1069" t="s">
        <v>1169</v>
      </c>
      <c r="D22" s="91">
        <v>1</v>
      </c>
      <c r="E22" s="108" t="s">
        <v>822</v>
      </c>
      <c r="F22" s="108">
        <v>3670000</v>
      </c>
      <c r="G22" s="78">
        <f t="shared" si="0"/>
        <v>3670000</v>
      </c>
      <c r="I22" s="107"/>
    </row>
    <row r="23" spans="1:11">
      <c r="A23" s="102">
        <v>15</v>
      </c>
      <c r="B23" s="40" t="s">
        <v>1149</v>
      </c>
      <c r="C23" s="1069" t="s">
        <v>1151</v>
      </c>
      <c r="D23" s="91">
        <v>1</v>
      </c>
      <c r="E23" s="108" t="s">
        <v>822</v>
      </c>
      <c r="F23" s="108">
        <v>1500000</v>
      </c>
      <c r="G23" s="78">
        <f t="shared" si="0"/>
        <v>1500000</v>
      </c>
      <c r="I23" s="107">
        <f>SUM(G21:G27)</f>
        <v>12670000</v>
      </c>
    </row>
    <row r="24" spans="1:11">
      <c r="A24" s="102">
        <v>16</v>
      </c>
      <c r="B24" s="40" t="s">
        <v>1149</v>
      </c>
      <c r="C24" s="1069" t="s">
        <v>1152</v>
      </c>
      <c r="D24" s="91">
        <v>1</v>
      </c>
      <c r="E24" s="108" t="s">
        <v>822</v>
      </c>
      <c r="F24" s="108">
        <v>1500000</v>
      </c>
      <c r="G24" s="78">
        <f t="shared" si="0"/>
        <v>1500000</v>
      </c>
    </row>
    <row r="25" spans="1:11">
      <c r="A25" s="102">
        <v>17</v>
      </c>
      <c r="B25" s="40" t="s">
        <v>1149</v>
      </c>
      <c r="C25" s="1069" t="s">
        <v>757</v>
      </c>
      <c r="D25" s="91">
        <v>1</v>
      </c>
      <c r="E25" s="108" t="s">
        <v>822</v>
      </c>
      <c r="F25" s="108">
        <v>1500000</v>
      </c>
      <c r="G25" s="78">
        <f t="shared" si="0"/>
        <v>1500000</v>
      </c>
    </row>
    <row r="26" spans="1:11">
      <c r="A26" s="102">
        <v>18</v>
      </c>
      <c r="B26" s="40" t="s">
        <v>1149</v>
      </c>
      <c r="C26" s="1069" t="s">
        <v>596</v>
      </c>
      <c r="D26" s="91">
        <v>1</v>
      </c>
      <c r="E26" s="108" t="s">
        <v>822</v>
      </c>
      <c r="F26" s="108">
        <v>1500000</v>
      </c>
      <c r="G26" s="78">
        <f t="shared" si="0"/>
        <v>1500000</v>
      </c>
    </row>
    <row r="27" spans="1:11">
      <c r="A27" s="102">
        <v>19</v>
      </c>
      <c r="B27" s="40" t="s">
        <v>1149</v>
      </c>
      <c r="C27" s="1069" t="s">
        <v>1155</v>
      </c>
      <c r="D27" s="91">
        <v>1</v>
      </c>
      <c r="E27" s="108" t="s">
        <v>822</v>
      </c>
      <c r="F27" s="108">
        <v>1500000</v>
      </c>
      <c r="G27" s="78">
        <f t="shared" ref="G27:G42" si="1">F27*D27</f>
        <v>1500000</v>
      </c>
    </row>
    <row r="28" spans="1:11">
      <c r="A28" s="102">
        <v>20</v>
      </c>
      <c r="B28" s="40" t="s">
        <v>1149</v>
      </c>
      <c r="C28" s="1071" t="s">
        <v>1170</v>
      </c>
      <c r="D28" s="91">
        <v>1</v>
      </c>
      <c r="E28" s="108" t="s">
        <v>822</v>
      </c>
      <c r="F28" s="108">
        <v>1500000</v>
      </c>
      <c r="G28" s="78">
        <f t="shared" si="1"/>
        <v>1500000</v>
      </c>
    </row>
    <row r="29" spans="1:11">
      <c r="A29" s="102">
        <v>21</v>
      </c>
      <c r="B29" s="125" t="s">
        <v>1149</v>
      </c>
      <c r="C29" s="1070" t="s">
        <v>1156</v>
      </c>
      <c r="D29" s="126">
        <v>1</v>
      </c>
      <c r="E29" s="93" t="s">
        <v>822</v>
      </c>
      <c r="F29" s="127">
        <v>2000000</v>
      </c>
      <c r="G29" s="78">
        <f t="shared" si="1"/>
        <v>2000000</v>
      </c>
    </row>
    <row r="30" spans="1:11">
      <c r="A30" s="102">
        <v>22</v>
      </c>
      <c r="B30" s="125" t="s">
        <v>1149</v>
      </c>
      <c r="C30" s="1069" t="s">
        <v>1171</v>
      </c>
      <c r="D30" s="91">
        <v>1</v>
      </c>
      <c r="E30" s="108" t="s">
        <v>822</v>
      </c>
      <c r="F30" s="108">
        <v>1500000</v>
      </c>
      <c r="G30" s="78">
        <f t="shared" si="1"/>
        <v>1500000</v>
      </c>
    </row>
    <row r="31" spans="1:11">
      <c r="A31" s="102">
        <v>23</v>
      </c>
      <c r="B31" s="125"/>
      <c r="C31" s="125"/>
      <c r="D31" s="126"/>
      <c r="E31" s="93"/>
      <c r="F31" s="128"/>
      <c r="G31" s="129">
        <f t="shared" si="1"/>
        <v>0</v>
      </c>
    </row>
    <row r="32" spans="1:11">
      <c r="A32" s="102"/>
      <c r="B32" s="130"/>
      <c r="C32" s="125"/>
      <c r="D32" s="126"/>
      <c r="E32" s="93"/>
      <c r="F32" s="128"/>
      <c r="G32" s="129">
        <f t="shared" si="1"/>
        <v>0</v>
      </c>
    </row>
    <row r="33" spans="1:11">
      <c r="A33" s="102"/>
      <c r="B33" s="125"/>
      <c r="C33" s="125"/>
      <c r="D33" s="126"/>
      <c r="E33" s="93"/>
      <c r="F33" s="128"/>
      <c r="G33" s="129">
        <f t="shared" si="1"/>
        <v>0</v>
      </c>
    </row>
    <row r="34" spans="1:11">
      <c r="A34" s="102"/>
      <c r="B34" s="125"/>
      <c r="C34" s="125"/>
      <c r="D34" s="126"/>
      <c r="E34" s="93"/>
      <c r="F34" s="128"/>
      <c r="G34" s="129">
        <f t="shared" si="1"/>
        <v>0</v>
      </c>
    </row>
    <row r="35" spans="1:11">
      <c r="A35" s="102"/>
      <c r="B35" s="125"/>
      <c r="C35" s="125"/>
      <c r="D35" s="126"/>
      <c r="E35" s="93"/>
      <c r="F35" s="128"/>
      <c r="G35" s="129">
        <f t="shared" si="1"/>
        <v>0</v>
      </c>
    </row>
    <row r="36" spans="1:11">
      <c r="A36" s="102"/>
      <c r="B36" s="125"/>
      <c r="C36" s="125"/>
      <c r="D36" s="126"/>
      <c r="E36" s="93"/>
      <c r="F36" s="128"/>
      <c r="G36" s="129">
        <f t="shared" si="1"/>
        <v>0</v>
      </c>
    </row>
    <row r="37" spans="1:11">
      <c r="A37" s="102"/>
      <c r="B37" s="125"/>
      <c r="C37" s="125"/>
      <c r="D37" s="126"/>
      <c r="E37" s="93"/>
      <c r="F37" s="128"/>
      <c r="G37" s="129">
        <f t="shared" si="1"/>
        <v>0</v>
      </c>
    </row>
    <row r="38" spans="1:11">
      <c r="A38" s="102"/>
      <c r="B38" s="125"/>
      <c r="C38" s="125"/>
      <c r="D38" s="126"/>
      <c r="E38" s="93"/>
      <c r="F38" s="128"/>
      <c r="G38" s="129">
        <f t="shared" si="1"/>
        <v>0</v>
      </c>
    </row>
    <row r="39" spans="1:11">
      <c r="A39" s="102"/>
      <c r="B39" s="125"/>
      <c r="C39" s="125"/>
      <c r="D39" s="126"/>
      <c r="E39" s="93"/>
      <c r="F39" s="131"/>
      <c r="G39" s="129">
        <f t="shared" si="1"/>
        <v>0</v>
      </c>
      <c r="I39" s="65">
        <f>SUM(I40:I41)</f>
        <v>90288000</v>
      </c>
    </row>
    <row r="40" spans="1:11">
      <c r="A40" s="102"/>
      <c r="B40" s="125"/>
      <c r="C40" s="125"/>
      <c r="D40" s="126"/>
      <c r="E40" s="93"/>
      <c r="F40" s="131"/>
      <c r="G40" s="129">
        <f t="shared" si="1"/>
        <v>0</v>
      </c>
      <c r="I40" s="65">
        <f>'Mantanaice bor air'!G34</f>
        <v>18072000</v>
      </c>
      <c r="J40" s="7">
        <f>G43+'[47]PENG. GALUNG JAMPU TAHAP KE 2'!G53</f>
        <v>64516000</v>
      </c>
    </row>
    <row r="41" spans="1:11">
      <c r="A41" s="102"/>
      <c r="B41" s="125"/>
      <c r="C41" s="125"/>
      <c r="D41" s="126"/>
      <c r="E41" s="93"/>
      <c r="F41" s="131"/>
      <c r="G41" s="129">
        <f t="shared" si="1"/>
        <v>0</v>
      </c>
      <c r="I41" s="65">
        <f>G43+'PENG. GALUNG JAMPU TAHAP KE 2'!G55</f>
        <v>72216000</v>
      </c>
      <c r="J41" s="7">
        <f>J40+'[47]Mantanaice bor air'!G34</f>
        <v>82588000</v>
      </c>
    </row>
    <row r="42" spans="1:11">
      <c r="A42" s="102"/>
      <c r="B42" s="125"/>
      <c r="C42" s="125"/>
      <c r="D42" s="126"/>
      <c r="E42" s="93"/>
      <c r="F42" s="131"/>
      <c r="G42" s="129">
        <f t="shared" si="1"/>
        <v>0</v>
      </c>
    </row>
    <row r="43" spans="1:11">
      <c r="A43" s="93"/>
      <c r="B43" s="132" t="s">
        <v>111</v>
      </c>
      <c r="C43" s="132"/>
      <c r="D43" s="133"/>
      <c r="E43" s="132"/>
      <c r="F43" s="132"/>
      <c r="G43" s="111">
        <f>SUM(G8:G42)</f>
        <v>33096000</v>
      </c>
      <c r="I43" s="65">
        <f>SUM(KASHAR!K84)</f>
        <v>27963500</v>
      </c>
      <c r="J43" s="65">
        <f>I43+'PENG. GALUNG JAMPU TAHAP KE 2'!I55</f>
        <v>64551900</v>
      </c>
      <c r="K43" s="65">
        <f>I39-J43</f>
        <v>25736100</v>
      </c>
    </row>
    <row r="44" spans="1:11">
      <c r="A44" s="112" t="s">
        <v>113</v>
      </c>
      <c r="B44" s="112"/>
      <c r="C44" s="112"/>
      <c r="D44" s="112"/>
      <c r="E44" s="112"/>
      <c r="F44" s="112"/>
      <c r="G44" s="112"/>
      <c r="I44" s="65">
        <f>SUM(G43-I43)</f>
        <v>5132500</v>
      </c>
    </row>
    <row r="45" spans="1:11">
      <c r="A45" s="6" t="s">
        <v>829</v>
      </c>
      <c r="B45" s="6"/>
      <c r="C45" s="6"/>
      <c r="D45" s="6"/>
      <c r="E45" s="6"/>
      <c r="F45" s="6"/>
      <c r="G45" s="6"/>
    </row>
    <row r="46" spans="1:11">
      <c r="B46" s="6"/>
      <c r="C46" s="6"/>
      <c r="G46" s="113"/>
    </row>
    <row r="47" spans="1:11">
      <c r="B47" s="113"/>
      <c r="C47" s="113"/>
      <c r="E47" s="113" t="s">
        <v>830</v>
      </c>
      <c r="F47" s="113"/>
      <c r="G47" s="113"/>
    </row>
    <row r="48" spans="1:11">
      <c r="B48" s="113" t="s">
        <v>115</v>
      </c>
      <c r="C48" s="113"/>
      <c r="E48" s="113" t="s">
        <v>639</v>
      </c>
      <c r="F48" s="113"/>
      <c r="G48" s="113"/>
    </row>
    <row r="51" spans="1:7">
      <c r="F51" s="114"/>
    </row>
    <row r="52" spans="1:7">
      <c r="B52" s="115" t="s">
        <v>117</v>
      </c>
      <c r="C52" s="115"/>
      <c r="D52" s="116"/>
      <c r="E52" s="115" t="s">
        <v>118</v>
      </c>
      <c r="F52" s="115"/>
      <c r="G52" s="115"/>
    </row>
    <row r="53" spans="1:7">
      <c r="E53" s="113"/>
      <c r="F53" s="6"/>
    </row>
    <row r="54" spans="1:7">
      <c r="A54" s="6"/>
      <c r="F54" s="117"/>
    </row>
    <row r="55" spans="1:7">
      <c r="A55" s="6"/>
    </row>
  </sheetData>
  <mergeCells count="11">
    <mergeCell ref="A1:G1"/>
    <mergeCell ref="A2:G2"/>
    <mergeCell ref="A3:B3"/>
    <mergeCell ref="D3:F3"/>
    <mergeCell ref="A4:B4"/>
    <mergeCell ref="A5:B5"/>
    <mergeCell ref="A44:G44"/>
    <mergeCell ref="A45:G45"/>
    <mergeCell ref="E47:G47"/>
    <mergeCell ref="E48:G48"/>
    <mergeCell ref="E52:G52"/>
  </mergeCells>
  <pageMargins left="0.75" right="0.75" top="1" bottom="1" header="0.5" footer="0.5"/>
  <pageSetup paperSize="1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6"/>
  <sheetViews>
    <sheetView topLeftCell="A20" workbookViewId="0">
      <selection activeCell="G34" sqref="G34"/>
    </sheetView>
  </sheetViews>
  <sheetFormatPr defaultColWidth="8.72727272727273" defaultRowHeight="14.5"/>
  <cols>
    <col min="1" max="1" width="6.09090909090909" style="7" customWidth="1"/>
    <col min="2" max="2" width="29.0909090909091" style="7" customWidth="1"/>
    <col min="3" max="3" width="12" style="7" customWidth="1"/>
    <col min="4" max="5" width="8.72727272727273" style="7"/>
    <col min="6" max="6" width="14.4545454545455" style="7"/>
    <col min="7" max="7" width="17" style="7" customWidth="1"/>
    <col min="8" max="8" width="8.72727272727273" style="7"/>
    <col min="9" max="9" width="14.4545454545455" style="7"/>
    <col min="10" max="16384" width="8.72727272727273" style="7"/>
  </cols>
  <sheetData>
    <row r="1" spans="1:13">
      <c r="A1" s="96" t="s">
        <v>0</v>
      </c>
      <c r="B1" s="96"/>
      <c r="C1" s="96"/>
      <c r="D1" s="96"/>
      <c r="E1" s="96"/>
      <c r="F1" s="96"/>
      <c r="G1" s="96"/>
    </row>
    <row r="2" spans="1:13">
      <c r="A2" s="97" t="s">
        <v>1117</v>
      </c>
      <c r="B2" s="97"/>
      <c r="C2" s="97"/>
      <c r="D2" s="97"/>
      <c r="E2" s="97"/>
      <c r="F2" s="97"/>
      <c r="G2" s="97"/>
    </row>
    <row r="3" spans="1:13">
      <c r="A3" s="98" t="s">
        <v>204</v>
      </c>
      <c r="B3" s="98"/>
      <c r="C3" s="98"/>
      <c r="D3" s="6" t="s">
        <v>122</v>
      </c>
      <c r="E3" s="6"/>
      <c r="F3" s="6"/>
    </row>
    <row r="4" spans="1:13">
      <c r="A4" s="98" t="s">
        <v>123</v>
      </c>
      <c r="B4" s="98"/>
      <c r="C4" s="98"/>
      <c r="D4" s="6" t="s">
        <v>124</v>
      </c>
    </row>
    <row r="5" spans="1:13">
      <c r="A5" s="98" t="s">
        <v>125</v>
      </c>
      <c r="B5" s="98"/>
      <c r="C5" s="98"/>
      <c r="D5" s="6" t="s">
        <v>126</v>
      </c>
      <c r="L5" s="99"/>
    </row>
    <row r="6" ht="29" spans="1:13">
      <c r="A6" s="100" t="s">
        <v>803</v>
      </c>
      <c r="B6" s="100" t="s">
        <v>816</v>
      </c>
      <c r="C6" s="100" t="s">
        <v>1055</v>
      </c>
      <c r="D6" s="101" t="s">
        <v>817</v>
      </c>
      <c r="E6" s="101" t="s">
        <v>818</v>
      </c>
      <c r="F6" s="101" t="s">
        <v>819</v>
      </c>
      <c r="G6" s="100" t="s">
        <v>820</v>
      </c>
    </row>
    <row r="7" spans="1:13">
      <c r="A7" s="102">
        <v>1</v>
      </c>
      <c r="B7" s="103" t="s">
        <v>1172</v>
      </c>
      <c r="C7" s="1072" t="s">
        <v>1173</v>
      </c>
      <c r="D7" s="93">
        <v>1</v>
      </c>
      <c r="E7" s="93" t="s">
        <v>1063</v>
      </c>
      <c r="F7" s="104">
        <v>175000</v>
      </c>
      <c r="G7" s="105">
        <f t="shared" ref="G7:G14" si="0">SUM(D7*F7)</f>
        <v>175000</v>
      </c>
      <c r="M7" s="103"/>
    </row>
    <row r="8" spans="1:13">
      <c r="A8" s="102">
        <v>2</v>
      </c>
      <c r="B8" s="87" t="s">
        <v>1174</v>
      </c>
      <c r="C8" s="1068" t="s">
        <v>1175</v>
      </c>
      <c r="D8" s="87">
        <v>5</v>
      </c>
      <c r="E8" s="87" t="s">
        <v>1122</v>
      </c>
      <c r="F8" s="106">
        <v>45000</v>
      </c>
      <c r="G8" s="105">
        <f t="shared" si="0"/>
        <v>225000</v>
      </c>
    </row>
    <row r="9" spans="1:13">
      <c r="A9" s="102">
        <v>3</v>
      </c>
      <c r="B9" s="103" t="s">
        <v>1176</v>
      </c>
      <c r="C9" s="102"/>
      <c r="D9" s="76">
        <v>1</v>
      </c>
      <c r="E9" s="76" t="s">
        <v>822</v>
      </c>
      <c r="F9" s="77">
        <v>600000</v>
      </c>
      <c r="G9" s="105">
        <f t="shared" si="0"/>
        <v>600000</v>
      </c>
    </row>
    <row r="10" spans="1:13">
      <c r="A10" s="102">
        <v>4</v>
      </c>
      <c r="B10" s="103" t="s">
        <v>1177</v>
      </c>
      <c r="C10" s="1073" t="s">
        <v>1178</v>
      </c>
      <c r="D10" s="76">
        <v>1</v>
      </c>
      <c r="E10" s="76" t="s">
        <v>822</v>
      </c>
      <c r="F10" s="77">
        <v>100000</v>
      </c>
      <c r="G10" s="105">
        <f t="shared" si="0"/>
        <v>100000</v>
      </c>
    </row>
    <row r="11" spans="1:13">
      <c r="A11" s="102">
        <v>5</v>
      </c>
      <c r="B11" s="103" t="s">
        <v>1179</v>
      </c>
      <c r="C11" s="1073" t="s">
        <v>1136</v>
      </c>
      <c r="D11" s="76">
        <v>11</v>
      </c>
      <c r="E11" s="76" t="s">
        <v>1180</v>
      </c>
      <c r="F11" s="77">
        <v>60000</v>
      </c>
      <c r="G11" s="105">
        <f t="shared" si="0"/>
        <v>660000</v>
      </c>
    </row>
    <row r="12" spans="1:13">
      <c r="A12" s="102">
        <v>6</v>
      </c>
      <c r="B12" s="103" t="s">
        <v>1174</v>
      </c>
      <c r="C12" s="1073" t="s">
        <v>1181</v>
      </c>
      <c r="D12" s="76">
        <v>1</v>
      </c>
      <c r="E12" s="76" t="s">
        <v>1182</v>
      </c>
      <c r="F12" s="77">
        <v>300000</v>
      </c>
      <c r="G12" s="105">
        <f t="shared" si="0"/>
        <v>300000</v>
      </c>
      <c r="I12" s="107" t="e">
        <f>SUM(#REF!+#REF!+#REF!+#REF!+#REF!+#REF!)</f>
        <v>#REF!</v>
      </c>
    </row>
    <row r="13" spans="1:13">
      <c r="A13" s="102">
        <v>7</v>
      </c>
      <c r="B13" s="103" t="s">
        <v>1183</v>
      </c>
      <c r="C13" s="1073" t="s">
        <v>1184</v>
      </c>
      <c r="D13" s="76">
        <v>1</v>
      </c>
      <c r="E13" s="76" t="s">
        <v>822</v>
      </c>
      <c r="F13" s="77">
        <v>500000</v>
      </c>
      <c r="G13" s="105">
        <f t="shared" si="0"/>
        <v>500000</v>
      </c>
    </row>
    <row r="14" spans="1:13">
      <c r="A14" s="102">
        <v>8</v>
      </c>
      <c r="B14" s="103" t="s">
        <v>1185</v>
      </c>
      <c r="C14" s="1073" t="s">
        <v>1186</v>
      </c>
      <c r="D14" s="76">
        <v>1</v>
      </c>
      <c r="E14" s="76" t="s">
        <v>822</v>
      </c>
      <c r="F14" s="77">
        <v>1000000</v>
      </c>
      <c r="G14" s="105">
        <f t="shared" si="0"/>
        <v>1000000</v>
      </c>
      <c r="I14" s="107"/>
    </row>
    <row r="15" spans="1:13">
      <c r="A15" s="102">
        <v>9</v>
      </c>
      <c r="B15" s="40" t="s">
        <v>1187</v>
      </c>
      <c r="C15" s="1069" t="s">
        <v>1160</v>
      </c>
      <c r="D15" s="91">
        <v>1</v>
      </c>
      <c r="E15" s="108" t="s">
        <v>822</v>
      </c>
      <c r="F15" s="108">
        <v>2500000</v>
      </c>
      <c r="G15" s="78">
        <f t="shared" ref="G15:G32" si="1">F15*D15</f>
        <v>2500000</v>
      </c>
    </row>
    <row r="16" spans="1:13">
      <c r="A16" s="102">
        <v>10</v>
      </c>
      <c r="B16" s="40" t="s">
        <v>1187</v>
      </c>
      <c r="C16" s="1069" t="s">
        <v>589</v>
      </c>
      <c r="D16" s="91">
        <v>1</v>
      </c>
      <c r="E16" s="108" t="s">
        <v>822</v>
      </c>
      <c r="F16" s="108">
        <v>1500000</v>
      </c>
      <c r="G16" s="78">
        <f t="shared" si="1"/>
        <v>1500000</v>
      </c>
    </row>
    <row r="17" spans="1:9">
      <c r="A17" s="102">
        <v>11</v>
      </c>
      <c r="B17" s="40" t="s">
        <v>1187</v>
      </c>
      <c r="C17" s="1069" t="s">
        <v>1188</v>
      </c>
      <c r="D17" s="91">
        <v>1</v>
      </c>
      <c r="E17" s="108" t="s">
        <v>822</v>
      </c>
      <c r="F17" s="108">
        <v>200000</v>
      </c>
      <c r="G17" s="78">
        <f t="shared" si="1"/>
        <v>200000</v>
      </c>
    </row>
    <row r="18" spans="1:9">
      <c r="A18" s="102">
        <v>12</v>
      </c>
      <c r="B18" s="40" t="s">
        <v>1189</v>
      </c>
      <c r="C18" s="1069" t="s">
        <v>1190</v>
      </c>
      <c r="D18" s="91">
        <v>1</v>
      </c>
      <c r="E18" s="108" t="s">
        <v>822</v>
      </c>
      <c r="F18" s="108">
        <v>350000</v>
      </c>
      <c r="G18" s="78">
        <f t="shared" si="1"/>
        <v>350000</v>
      </c>
    </row>
    <row r="19" spans="1:9">
      <c r="A19" s="102">
        <v>13</v>
      </c>
      <c r="B19" s="40" t="s">
        <v>1187</v>
      </c>
      <c r="C19" s="1069" t="s">
        <v>1191</v>
      </c>
      <c r="D19" s="91">
        <v>1</v>
      </c>
      <c r="E19" s="108" t="s">
        <v>822</v>
      </c>
      <c r="F19" s="108">
        <v>2062000</v>
      </c>
      <c r="G19" s="78">
        <f t="shared" si="1"/>
        <v>2062000</v>
      </c>
    </row>
    <row r="20" spans="1:9">
      <c r="A20" s="102">
        <v>14</v>
      </c>
      <c r="B20" s="40" t="s">
        <v>1192</v>
      </c>
      <c r="C20" s="1069" t="s">
        <v>591</v>
      </c>
      <c r="D20" s="91">
        <v>1</v>
      </c>
      <c r="E20" s="108" t="s">
        <v>822</v>
      </c>
      <c r="F20" s="108">
        <v>1000000</v>
      </c>
      <c r="G20" s="78">
        <f t="shared" si="1"/>
        <v>1000000</v>
      </c>
    </row>
    <row r="21" spans="1:9">
      <c r="A21" s="102">
        <v>15</v>
      </c>
      <c r="B21" s="40" t="s">
        <v>1187</v>
      </c>
      <c r="C21" s="1069" t="s">
        <v>1193</v>
      </c>
      <c r="D21" s="91">
        <v>1</v>
      </c>
      <c r="E21" s="108" t="s">
        <v>822</v>
      </c>
      <c r="F21" s="108">
        <v>500000</v>
      </c>
      <c r="G21" s="78">
        <f t="shared" si="1"/>
        <v>500000</v>
      </c>
    </row>
    <row r="22" spans="1:9">
      <c r="A22" s="102">
        <v>16</v>
      </c>
      <c r="B22" s="40" t="s">
        <v>1194</v>
      </c>
      <c r="C22" s="1069" t="s">
        <v>1046</v>
      </c>
      <c r="D22" s="91">
        <v>11</v>
      </c>
      <c r="E22" s="108" t="s">
        <v>1180</v>
      </c>
      <c r="F22" s="108">
        <v>50000</v>
      </c>
      <c r="G22" s="78">
        <f t="shared" si="1"/>
        <v>550000</v>
      </c>
      <c r="I22" s="7" t="s">
        <v>226</v>
      </c>
    </row>
    <row r="23" spans="1:9">
      <c r="A23" s="102">
        <v>17</v>
      </c>
      <c r="B23" s="40" t="s">
        <v>1187</v>
      </c>
      <c r="C23" s="1069" t="s">
        <v>1046</v>
      </c>
      <c r="D23" s="91">
        <v>1</v>
      </c>
      <c r="E23" s="108" t="s">
        <v>822</v>
      </c>
      <c r="F23" s="108">
        <v>2800000</v>
      </c>
      <c r="G23" s="78">
        <f t="shared" si="1"/>
        <v>2800000</v>
      </c>
    </row>
    <row r="24" spans="1:9">
      <c r="A24" s="102">
        <v>18</v>
      </c>
      <c r="B24" s="40" t="s">
        <v>1195</v>
      </c>
      <c r="C24" s="1069" t="s">
        <v>1166</v>
      </c>
      <c r="D24" s="91">
        <v>1</v>
      </c>
      <c r="E24" s="108" t="s">
        <v>822</v>
      </c>
      <c r="F24" s="108">
        <v>700000</v>
      </c>
      <c r="G24" s="78">
        <f t="shared" si="1"/>
        <v>700000</v>
      </c>
    </row>
    <row r="25" spans="1:9">
      <c r="A25" s="102">
        <v>19</v>
      </c>
      <c r="B25" s="40" t="s">
        <v>1196</v>
      </c>
      <c r="C25" s="1069" t="s">
        <v>1141</v>
      </c>
      <c r="D25" s="91">
        <v>1</v>
      </c>
      <c r="E25" s="108" t="s">
        <v>822</v>
      </c>
      <c r="F25" s="108">
        <v>350000</v>
      </c>
      <c r="G25" s="78">
        <f t="shared" si="1"/>
        <v>350000</v>
      </c>
    </row>
    <row r="26" spans="1:9">
      <c r="A26" s="102">
        <v>20</v>
      </c>
      <c r="B26" s="40" t="s">
        <v>1197</v>
      </c>
      <c r="C26" s="1069" t="s">
        <v>1141</v>
      </c>
      <c r="D26" s="91">
        <v>1</v>
      </c>
      <c r="E26" s="108" t="s">
        <v>822</v>
      </c>
      <c r="F26" s="108">
        <v>1150000</v>
      </c>
      <c r="G26" s="78">
        <f t="shared" si="1"/>
        <v>1150000</v>
      </c>
    </row>
    <row r="27" spans="1:9">
      <c r="A27" s="102">
        <v>21</v>
      </c>
      <c r="B27" s="40" t="s">
        <v>1198</v>
      </c>
      <c r="C27" s="1069" t="s">
        <v>1199</v>
      </c>
      <c r="D27" s="91">
        <v>1</v>
      </c>
      <c r="E27" s="108" t="s">
        <v>822</v>
      </c>
      <c r="F27" s="108">
        <v>350000</v>
      </c>
      <c r="G27" s="78">
        <f t="shared" si="1"/>
        <v>350000</v>
      </c>
    </row>
    <row r="28" spans="1:9">
      <c r="A28" s="102">
        <v>22</v>
      </c>
      <c r="B28" s="40" t="s">
        <v>1200</v>
      </c>
      <c r="C28" s="1069" t="s">
        <v>1201</v>
      </c>
      <c r="D28" s="91">
        <v>2</v>
      </c>
      <c r="E28" s="108" t="s">
        <v>1063</v>
      </c>
      <c r="F28" s="108">
        <v>60000</v>
      </c>
      <c r="G28" s="78">
        <f t="shared" si="1"/>
        <v>120000</v>
      </c>
    </row>
    <row r="29" spans="1:9">
      <c r="A29" s="102">
        <v>23</v>
      </c>
      <c r="B29" s="40" t="s">
        <v>1202</v>
      </c>
      <c r="C29" s="1069" t="s">
        <v>1201</v>
      </c>
      <c r="D29" s="91">
        <v>1</v>
      </c>
      <c r="E29" s="108" t="s">
        <v>1063</v>
      </c>
      <c r="F29" s="108">
        <v>45000</v>
      </c>
      <c r="G29" s="78">
        <f t="shared" si="1"/>
        <v>45000</v>
      </c>
    </row>
    <row r="30" spans="1:9">
      <c r="A30" s="102">
        <v>24</v>
      </c>
      <c r="B30" s="40" t="s">
        <v>1203</v>
      </c>
      <c r="C30" s="1069" t="s">
        <v>1201</v>
      </c>
      <c r="D30" s="91">
        <v>1</v>
      </c>
      <c r="E30" s="108" t="s">
        <v>1063</v>
      </c>
      <c r="F30" s="108">
        <v>35000</v>
      </c>
      <c r="G30" s="78">
        <f t="shared" si="1"/>
        <v>35000</v>
      </c>
    </row>
    <row r="31" spans="1:9">
      <c r="A31" s="102">
        <v>25</v>
      </c>
      <c r="B31" s="40" t="s">
        <v>1204</v>
      </c>
      <c r="C31" s="1069" t="s">
        <v>1205</v>
      </c>
      <c r="D31" s="91">
        <v>1</v>
      </c>
      <c r="E31" s="108" t="s">
        <v>822</v>
      </c>
      <c r="F31" s="108">
        <v>300000</v>
      </c>
      <c r="G31" s="78">
        <f t="shared" si="1"/>
        <v>300000</v>
      </c>
    </row>
    <row r="32" spans="1:9">
      <c r="A32" s="102"/>
      <c r="B32" s="40"/>
      <c r="C32" s="40"/>
      <c r="D32" s="91"/>
      <c r="E32" s="108"/>
      <c r="F32" s="108"/>
      <c r="G32" s="78">
        <f t="shared" si="1"/>
        <v>0</v>
      </c>
    </row>
    <row r="33" spans="1:7">
      <c r="A33" s="102"/>
      <c r="B33" s="40"/>
      <c r="C33" s="40"/>
      <c r="D33" s="91"/>
      <c r="E33" s="108"/>
      <c r="F33" s="108"/>
      <c r="G33" s="78"/>
    </row>
    <row r="34" spans="1:7">
      <c r="A34" s="93"/>
      <c r="B34" s="109" t="s">
        <v>111</v>
      </c>
      <c r="C34" s="109"/>
      <c r="D34" s="110"/>
      <c r="E34" s="109"/>
      <c r="F34" s="109"/>
      <c r="G34" s="111">
        <f>SUM(G7:G33)</f>
        <v>18072000</v>
      </c>
    </row>
    <row r="35" spans="1:7">
      <c r="A35" s="112" t="s">
        <v>113</v>
      </c>
      <c r="B35" s="112"/>
      <c r="C35" s="112"/>
      <c r="D35" s="112"/>
      <c r="E35" s="112"/>
      <c r="F35" s="112"/>
      <c r="G35" s="112"/>
    </row>
    <row r="36" spans="1:7">
      <c r="A36" s="6" t="s">
        <v>829</v>
      </c>
      <c r="B36" s="6"/>
      <c r="C36" s="6"/>
      <c r="D36" s="6"/>
      <c r="E36" s="6"/>
      <c r="F36" s="6"/>
      <c r="G36" s="6"/>
    </row>
    <row r="37" spans="1:7">
      <c r="B37" s="6"/>
      <c r="C37" s="6"/>
      <c r="G37" s="113"/>
    </row>
    <row r="38" spans="1:7">
      <c r="B38" s="113"/>
      <c r="C38" s="113"/>
      <c r="E38" s="113" t="s">
        <v>830</v>
      </c>
      <c r="F38" s="113"/>
      <c r="G38" s="113"/>
    </row>
    <row r="39" spans="1:7">
      <c r="B39" s="113" t="s">
        <v>115</v>
      </c>
      <c r="C39" s="113"/>
      <c r="E39" s="113" t="s">
        <v>639</v>
      </c>
      <c r="F39" s="113"/>
      <c r="G39" s="113"/>
    </row>
    <row r="42" spans="1:7">
      <c r="F42" s="114"/>
    </row>
    <row r="43" spans="1:7">
      <c r="B43" s="115" t="s">
        <v>117</v>
      </c>
      <c r="C43" s="115"/>
      <c r="D43" s="116"/>
      <c r="E43" s="115" t="s">
        <v>118</v>
      </c>
      <c r="F43" s="115"/>
      <c r="G43" s="115"/>
    </row>
    <row r="44" spans="1:7">
      <c r="E44" s="113"/>
      <c r="F44" s="6"/>
    </row>
    <row r="45" spans="1:7">
      <c r="A45" s="6"/>
      <c r="F45" s="117"/>
    </row>
    <row r="46" spans="1:7">
      <c r="A46" s="6"/>
    </row>
  </sheetData>
  <mergeCells count="11">
    <mergeCell ref="A1:G1"/>
    <mergeCell ref="A2:G2"/>
    <mergeCell ref="A3:B3"/>
    <mergeCell ref="D3:F3"/>
    <mergeCell ref="A4:B4"/>
    <mergeCell ref="A5:B5"/>
    <mergeCell ref="A35:G35"/>
    <mergeCell ref="A36:G36"/>
    <mergeCell ref="E38:G38"/>
    <mergeCell ref="E39:G39"/>
    <mergeCell ref="E43:G43"/>
  </mergeCells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1"/>
  <sheetViews>
    <sheetView topLeftCell="A12" workbookViewId="0">
      <selection activeCell="E12" sqref="E12"/>
    </sheetView>
  </sheetViews>
  <sheetFormatPr defaultColWidth="9" defaultRowHeight="14.5"/>
  <cols>
    <col min="1" max="1" width="5" customWidth="1"/>
    <col min="2" max="2" width="23.6363636363636" style="4" customWidth="1"/>
    <col min="3" max="4" width="9" style="4"/>
    <col min="5" max="5" width="12.8181818181818" style="4"/>
    <col min="6" max="6" width="11.4545454545455" style="4" customWidth="1"/>
    <col min="7" max="7" width="11.1818181818182" style="4" customWidth="1"/>
    <col min="8" max="8" width="11.6363636363636" style="4" customWidth="1"/>
    <col min="9" max="9" width="11.0909090909091" style="4" customWidth="1"/>
    <col min="10" max="10" width="13.5454545454545" style="4" customWidth="1"/>
    <col min="11" max="11" width="11.0909090909091" style="4" customWidth="1"/>
    <col min="12" max="12" width="15.5454545454545" style="4"/>
    <col min="13" max="16384" width="9" style="4"/>
  </cols>
  <sheetData>
    <row r="1" spans="1:12">
      <c r="B1" s="6" t="s">
        <v>410</v>
      </c>
      <c r="C1" s="6"/>
      <c r="D1" s="6"/>
      <c r="E1" s="6"/>
      <c r="F1" s="6"/>
      <c r="G1" s="6"/>
      <c r="H1" s="6"/>
      <c r="I1" s="6"/>
      <c r="J1" s="6"/>
    </row>
    <row r="2" spans="1:12">
      <c r="B2" s="6" t="s">
        <v>1206</v>
      </c>
      <c r="C2" s="6"/>
      <c r="D2" s="6"/>
      <c r="E2" s="6"/>
      <c r="F2" s="6"/>
      <c r="G2" s="6"/>
      <c r="H2" s="6"/>
      <c r="I2" s="6"/>
      <c r="J2" s="6"/>
    </row>
    <row r="4" ht="29" spans="1:12">
      <c r="A4" s="72" t="s">
        <v>414</v>
      </c>
      <c r="B4" s="73" t="s">
        <v>850</v>
      </c>
      <c r="C4" s="73" t="s">
        <v>654</v>
      </c>
      <c r="D4" s="74" t="s">
        <v>1207</v>
      </c>
      <c r="E4" s="73" t="s">
        <v>818</v>
      </c>
      <c r="F4" s="74" t="s">
        <v>819</v>
      </c>
      <c r="G4" s="73" t="s">
        <v>646</v>
      </c>
      <c r="H4" s="74" t="s">
        <v>1208</v>
      </c>
      <c r="I4" s="73" t="s">
        <v>1209</v>
      </c>
      <c r="J4" s="74" t="s">
        <v>853</v>
      </c>
    </row>
    <row r="5" spans="1:12">
      <c r="A5" s="71">
        <v>1</v>
      </c>
      <c r="B5" s="75" t="s">
        <v>1210</v>
      </c>
      <c r="C5" s="1067" t="s">
        <v>1211</v>
      </c>
      <c r="D5" s="76">
        <v>470</v>
      </c>
      <c r="E5" s="76" t="s">
        <v>1212</v>
      </c>
      <c r="F5" s="77">
        <v>110000</v>
      </c>
      <c r="G5" s="78">
        <f t="shared" ref="G5:G12" si="0">F5*D5</f>
        <v>51700000</v>
      </c>
      <c r="H5" s="77"/>
      <c r="I5" s="78">
        <f t="shared" ref="I5:I12" si="1">D5*H5</f>
        <v>0</v>
      </c>
      <c r="J5" s="78">
        <f t="shared" ref="J5:J12" si="2">I5-G5</f>
        <v>-51700000</v>
      </c>
    </row>
    <row r="6" spans="1:12">
      <c r="A6" s="71">
        <v>2</v>
      </c>
      <c r="B6" s="75" t="s">
        <v>1213</v>
      </c>
      <c r="C6" s="1067" t="s">
        <v>1211</v>
      </c>
      <c r="D6" s="76">
        <v>100</v>
      </c>
      <c r="E6" s="76" t="s">
        <v>1212</v>
      </c>
      <c r="F6" s="77">
        <v>50000</v>
      </c>
      <c r="G6" s="78">
        <f t="shared" si="0"/>
        <v>5000000</v>
      </c>
      <c r="H6" s="77"/>
      <c r="I6" s="78">
        <f t="shared" si="1"/>
        <v>0</v>
      </c>
      <c r="J6" s="78">
        <f t="shared" si="2"/>
        <v>-5000000</v>
      </c>
    </row>
    <row r="7" spans="1:12">
      <c r="A7" s="71">
        <v>3</v>
      </c>
      <c r="B7" s="75" t="s">
        <v>1214</v>
      </c>
      <c r="C7" s="1067" t="s">
        <v>1211</v>
      </c>
      <c r="D7" s="76">
        <v>20</v>
      </c>
      <c r="E7" s="76" t="s">
        <v>1105</v>
      </c>
      <c r="F7" s="77">
        <v>30000</v>
      </c>
      <c r="G7" s="78">
        <f t="shared" si="0"/>
        <v>600000</v>
      </c>
      <c r="H7" s="77"/>
      <c r="I7" s="78">
        <f t="shared" si="1"/>
        <v>0</v>
      </c>
      <c r="J7" s="78">
        <f t="shared" si="2"/>
        <v>-600000</v>
      </c>
    </row>
    <row r="8" spans="1:12">
      <c r="A8" s="71">
        <v>4</v>
      </c>
      <c r="B8" s="79" t="s">
        <v>1215</v>
      </c>
      <c r="C8" s="1074" t="s">
        <v>1211</v>
      </c>
      <c r="D8" s="80">
        <v>10</v>
      </c>
      <c r="E8" s="80" t="s">
        <v>1105</v>
      </c>
      <c r="F8" s="81">
        <v>20000</v>
      </c>
      <c r="G8" s="82">
        <f t="shared" si="0"/>
        <v>200000</v>
      </c>
      <c r="H8" s="81"/>
      <c r="I8" s="82">
        <f t="shared" si="1"/>
        <v>0</v>
      </c>
      <c r="J8" s="82">
        <f t="shared" si="2"/>
        <v>-200000</v>
      </c>
      <c r="K8" s="4" t="s">
        <v>1216</v>
      </c>
      <c r="L8" s="4">
        <v>100000</v>
      </c>
    </row>
    <row r="9" spans="1:12">
      <c r="A9" s="71">
        <v>5</v>
      </c>
      <c r="B9" s="79" t="s">
        <v>1217</v>
      </c>
      <c r="C9" s="1074" t="s">
        <v>1211</v>
      </c>
      <c r="D9" s="80">
        <v>10</v>
      </c>
      <c r="E9" s="80" t="s">
        <v>1105</v>
      </c>
      <c r="F9" s="81">
        <v>20000</v>
      </c>
      <c r="G9" s="82">
        <f t="shared" si="0"/>
        <v>200000</v>
      </c>
      <c r="H9" s="81"/>
      <c r="I9" s="82">
        <f t="shared" si="1"/>
        <v>0</v>
      </c>
      <c r="J9" s="82">
        <f t="shared" si="2"/>
        <v>-200000</v>
      </c>
      <c r="K9" s="4" t="s">
        <v>1218</v>
      </c>
      <c r="L9" s="83">
        <f>SUM(G8:G10)</f>
        <v>5200000</v>
      </c>
    </row>
    <row r="10" spans="1:12">
      <c r="A10" s="71">
        <v>6</v>
      </c>
      <c r="B10" s="79" t="s">
        <v>1219</v>
      </c>
      <c r="C10" s="1074" t="s">
        <v>1211</v>
      </c>
      <c r="D10" s="80">
        <v>50</v>
      </c>
      <c r="E10" s="80" t="s">
        <v>1161</v>
      </c>
      <c r="F10" s="81">
        <v>96000</v>
      </c>
      <c r="G10" s="82">
        <f t="shared" si="0"/>
        <v>4800000</v>
      </c>
      <c r="H10" s="81"/>
      <c r="I10" s="82">
        <f t="shared" si="1"/>
        <v>0</v>
      </c>
      <c r="J10" s="82">
        <f t="shared" si="2"/>
        <v>-4800000</v>
      </c>
      <c r="K10" s="4" t="s">
        <v>1220</v>
      </c>
      <c r="L10" s="83">
        <v>200000</v>
      </c>
    </row>
    <row r="11" spans="1:12">
      <c r="A11" s="71">
        <v>7</v>
      </c>
      <c r="B11" s="75"/>
      <c r="C11" s="75"/>
      <c r="D11" s="76"/>
      <c r="E11" s="76"/>
      <c r="F11" s="77"/>
      <c r="G11" s="78"/>
      <c r="H11" s="77"/>
      <c r="I11" s="78"/>
      <c r="J11" s="78"/>
      <c r="L11" s="83">
        <f>SUM(L8:L10)</f>
        <v>5500000</v>
      </c>
    </row>
    <row r="12" spans="1:12">
      <c r="A12" s="71">
        <v>8</v>
      </c>
      <c r="B12" s="75"/>
      <c r="C12" s="75"/>
      <c r="D12" s="76"/>
      <c r="E12" s="76"/>
      <c r="F12" s="77"/>
      <c r="G12" s="78"/>
      <c r="H12" s="77"/>
      <c r="I12" s="78"/>
      <c r="J12" s="78"/>
    </row>
    <row r="13" spans="1:12">
      <c r="A13" s="71"/>
      <c r="B13" s="84" t="s">
        <v>648</v>
      </c>
      <c r="C13" s="85"/>
      <c r="D13" s="78"/>
      <c r="E13" s="76"/>
      <c r="F13" s="78"/>
      <c r="G13" s="78">
        <f t="shared" ref="D13:J13" si="3">SUM(G5:G12)</f>
        <v>62500000</v>
      </c>
      <c r="H13" s="78"/>
      <c r="I13" s="78">
        <f t="shared" si="3"/>
        <v>0</v>
      </c>
      <c r="J13" s="78">
        <f t="shared" si="3"/>
        <v>-62500000</v>
      </c>
    </row>
    <row r="16" spans="1:12">
      <c r="B16" s="4" t="s">
        <v>1221</v>
      </c>
    </row>
    <row r="17" ht="29" spans="1:10">
      <c r="B17" s="73" t="s">
        <v>850</v>
      </c>
      <c r="C17" s="73" t="s">
        <v>654</v>
      </c>
      <c r="D17" s="74" t="s">
        <v>1207</v>
      </c>
      <c r="E17" s="73" t="s">
        <v>818</v>
      </c>
      <c r="F17" s="74" t="s">
        <v>819</v>
      </c>
      <c r="G17" s="73" t="s">
        <v>646</v>
      </c>
      <c r="H17" s="74" t="s">
        <v>1208</v>
      </c>
      <c r="I17" s="73" t="s">
        <v>1209</v>
      </c>
      <c r="J17" s="74" t="s">
        <v>853</v>
      </c>
    </row>
    <row r="18" spans="1:10">
      <c r="B18" s="75" t="s">
        <v>1222</v>
      </c>
      <c r="C18" s="1067" t="s">
        <v>255</v>
      </c>
      <c r="D18" s="76">
        <v>15</v>
      </c>
      <c r="E18" s="77" t="s">
        <v>1105</v>
      </c>
      <c r="F18" s="77">
        <v>20000</v>
      </c>
      <c r="G18" s="78">
        <f t="shared" ref="G18:G23" si="4">F18*D18</f>
        <v>300000</v>
      </c>
      <c r="H18" s="77"/>
      <c r="I18" s="78">
        <f t="shared" ref="I18:I23" si="5">D18*H18</f>
        <v>0</v>
      </c>
      <c r="J18" s="78">
        <f t="shared" ref="J18:J23" si="6">I18-G18</f>
        <v>-300000</v>
      </c>
    </row>
    <row r="19" spans="1:10">
      <c r="B19" s="86" t="s">
        <v>1223</v>
      </c>
      <c r="C19" s="1068" t="s">
        <v>273</v>
      </c>
      <c r="D19" s="88">
        <v>1</v>
      </c>
      <c r="E19" s="88"/>
      <c r="F19" s="89">
        <v>4100000</v>
      </c>
      <c r="G19" s="78">
        <f t="shared" si="4"/>
        <v>4100000</v>
      </c>
      <c r="H19" s="77"/>
      <c r="I19" s="78">
        <f t="shared" si="5"/>
        <v>0</v>
      </c>
      <c r="J19" s="78">
        <f t="shared" si="6"/>
        <v>-4100000</v>
      </c>
    </row>
    <row r="20" spans="1:10">
      <c r="B20" s="90" t="s">
        <v>1224</v>
      </c>
      <c r="C20" s="1069" t="s">
        <v>300</v>
      </c>
      <c r="D20" s="91">
        <v>1</v>
      </c>
      <c r="E20" s="92"/>
      <c r="F20" s="92">
        <v>1200000</v>
      </c>
      <c r="G20" s="78">
        <f t="shared" si="4"/>
        <v>1200000</v>
      </c>
      <c r="H20" s="77"/>
      <c r="I20" s="78">
        <f t="shared" si="5"/>
        <v>0</v>
      </c>
      <c r="J20" s="78">
        <f t="shared" si="6"/>
        <v>-1200000</v>
      </c>
    </row>
    <row r="21" spans="1:10">
      <c r="B21" s="90" t="s">
        <v>1225</v>
      </c>
      <c r="C21" s="1069" t="s">
        <v>316</v>
      </c>
      <c r="D21" s="91">
        <v>1</v>
      </c>
      <c r="E21" s="92"/>
      <c r="F21" s="92">
        <v>7760000</v>
      </c>
      <c r="G21" s="78">
        <f t="shared" si="4"/>
        <v>7760000</v>
      </c>
      <c r="H21" s="77"/>
      <c r="I21" s="78">
        <f t="shared" si="5"/>
        <v>0</v>
      </c>
      <c r="J21" s="78">
        <f t="shared" si="6"/>
        <v>-7760000</v>
      </c>
    </row>
    <row r="22" spans="1:10">
      <c r="B22" s="90"/>
      <c r="C22" s="40"/>
      <c r="D22" s="91"/>
      <c r="E22" s="92"/>
      <c r="F22" s="92"/>
      <c r="G22" s="78">
        <f t="shared" si="4"/>
        <v>0</v>
      </c>
      <c r="H22" s="77"/>
      <c r="I22" s="78">
        <f t="shared" si="5"/>
        <v>0</v>
      </c>
      <c r="J22" s="78">
        <f t="shared" si="6"/>
        <v>0</v>
      </c>
    </row>
    <row r="23" spans="1:10">
      <c r="B23" s="90"/>
      <c r="C23" s="40"/>
      <c r="D23" s="91"/>
      <c r="E23" s="92"/>
      <c r="F23" s="92"/>
      <c r="G23" s="78">
        <f t="shared" si="4"/>
        <v>0</v>
      </c>
      <c r="H23" s="77"/>
      <c r="I23" s="78">
        <f t="shared" si="5"/>
        <v>0</v>
      </c>
      <c r="J23" s="78">
        <f t="shared" si="6"/>
        <v>0</v>
      </c>
    </row>
    <row r="24" spans="1:10">
      <c r="B24" s="84" t="s">
        <v>648</v>
      </c>
      <c r="C24" s="85"/>
      <c r="D24" s="78">
        <f>SUM(D17:D23)</f>
        <v>18</v>
      </c>
      <c r="E24" s="92" t="s">
        <v>1226</v>
      </c>
      <c r="F24" s="78">
        <f t="shared" ref="F24:J24" si="7">SUM(F18:F23)</f>
        <v>13080000</v>
      </c>
      <c r="G24" s="78">
        <f t="shared" si="7"/>
        <v>13360000</v>
      </c>
      <c r="H24" s="78">
        <f t="shared" si="7"/>
        <v>0</v>
      </c>
      <c r="I24" s="78">
        <f t="shared" si="7"/>
        <v>0</v>
      </c>
      <c r="J24" s="78">
        <f t="shared" si="7"/>
        <v>-13360000</v>
      </c>
    </row>
    <row r="26" spans="1:10">
      <c r="B26" s="4" t="s">
        <v>1227</v>
      </c>
    </row>
    <row r="27" ht="29" spans="1:10">
      <c r="A27" s="72" t="s">
        <v>414</v>
      </c>
      <c r="B27" s="73" t="s">
        <v>850</v>
      </c>
      <c r="C27" s="73" t="s">
        <v>654</v>
      </c>
      <c r="D27" s="74" t="s">
        <v>1207</v>
      </c>
      <c r="E27" s="73" t="s">
        <v>818</v>
      </c>
      <c r="F27" s="74" t="s">
        <v>819</v>
      </c>
      <c r="G27" s="73" t="s">
        <v>646</v>
      </c>
      <c r="H27" s="74" t="s">
        <v>1208</v>
      </c>
      <c r="I27" s="73" t="s">
        <v>1209</v>
      </c>
      <c r="J27" s="74" t="s">
        <v>853</v>
      </c>
    </row>
    <row r="28" spans="1:10">
      <c r="A28" s="71">
        <v>1</v>
      </c>
      <c r="B28" s="75" t="s">
        <v>1210</v>
      </c>
      <c r="C28" s="1067" t="s">
        <v>1211</v>
      </c>
      <c r="D28" s="76">
        <v>470</v>
      </c>
      <c r="E28" s="76" t="s">
        <v>1212</v>
      </c>
      <c r="F28" s="77">
        <v>110000</v>
      </c>
      <c r="G28" s="78">
        <f t="shared" ref="G28:G34" si="8">F28*D28</f>
        <v>51700000</v>
      </c>
      <c r="H28" s="77">
        <v>113000</v>
      </c>
      <c r="I28" s="78">
        <f t="shared" ref="I28:I34" si="9">D28*H28</f>
        <v>53110000</v>
      </c>
      <c r="J28" s="78">
        <f t="shared" ref="J28:J34" si="10">I28-G28</f>
        <v>1410000</v>
      </c>
    </row>
    <row r="29" spans="1:10">
      <c r="A29" s="71">
        <v>2</v>
      </c>
      <c r="B29" s="75" t="s">
        <v>1213</v>
      </c>
      <c r="C29" s="1067" t="s">
        <v>1211</v>
      </c>
      <c r="D29" s="76">
        <v>100</v>
      </c>
      <c r="E29" s="76" t="s">
        <v>1212</v>
      </c>
      <c r="F29" s="77">
        <v>50000</v>
      </c>
      <c r="G29" s="78">
        <f t="shared" si="8"/>
        <v>5000000</v>
      </c>
      <c r="H29" s="77">
        <v>55000</v>
      </c>
      <c r="I29" s="78">
        <f t="shared" si="9"/>
        <v>5500000</v>
      </c>
      <c r="J29" s="78">
        <f t="shared" si="10"/>
        <v>500000</v>
      </c>
    </row>
    <row r="30" spans="1:10">
      <c r="A30" s="71">
        <v>3</v>
      </c>
      <c r="B30" s="75" t="s">
        <v>1214</v>
      </c>
      <c r="C30" s="1067" t="s">
        <v>1211</v>
      </c>
      <c r="D30" s="76">
        <v>20</v>
      </c>
      <c r="E30" s="76" t="s">
        <v>1105</v>
      </c>
      <c r="F30" s="77">
        <v>30000</v>
      </c>
      <c r="G30" s="78">
        <f t="shared" si="8"/>
        <v>600000</v>
      </c>
      <c r="H30" s="77">
        <v>20000</v>
      </c>
      <c r="I30" s="78">
        <f t="shared" si="9"/>
        <v>400000</v>
      </c>
      <c r="J30" s="78">
        <f t="shared" si="10"/>
        <v>-200000</v>
      </c>
    </row>
    <row r="31" spans="1:10">
      <c r="B31" s="75"/>
      <c r="C31" s="75"/>
      <c r="D31" s="76"/>
      <c r="E31" s="76"/>
      <c r="F31" s="77"/>
      <c r="G31" s="78">
        <f t="shared" si="8"/>
        <v>0</v>
      </c>
      <c r="H31" s="77"/>
      <c r="I31" s="78">
        <f t="shared" si="9"/>
        <v>0</v>
      </c>
      <c r="J31" s="78">
        <f t="shared" si="10"/>
        <v>0</v>
      </c>
    </row>
    <row r="32" spans="1:10">
      <c r="B32" s="75"/>
      <c r="C32" s="75"/>
      <c r="D32" s="76"/>
      <c r="E32" s="76"/>
      <c r="F32" s="77"/>
      <c r="G32" s="78">
        <f t="shared" si="8"/>
        <v>0</v>
      </c>
      <c r="H32" s="77"/>
      <c r="I32" s="78">
        <f t="shared" si="9"/>
        <v>0</v>
      </c>
      <c r="J32" s="78">
        <f t="shared" si="10"/>
        <v>0</v>
      </c>
    </row>
    <row r="33" spans="2:10">
      <c r="B33" s="75"/>
      <c r="C33" s="75"/>
      <c r="D33" s="76"/>
      <c r="E33" s="76"/>
      <c r="F33" s="77"/>
      <c r="G33" s="78">
        <f t="shared" si="8"/>
        <v>0</v>
      </c>
      <c r="H33" s="77"/>
      <c r="I33" s="78">
        <f t="shared" si="9"/>
        <v>0</v>
      </c>
      <c r="J33" s="78">
        <f t="shared" si="10"/>
        <v>0</v>
      </c>
    </row>
    <row r="34" spans="2:10">
      <c r="B34" s="40"/>
      <c r="C34" s="40"/>
      <c r="D34" s="91"/>
      <c r="E34" s="92"/>
      <c r="F34" s="92"/>
      <c r="G34" s="78">
        <f t="shared" si="8"/>
        <v>0</v>
      </c>
      <c r="H34" s="77"/>
      <c r="I34" s="78">
        <f t="shared" si="9"/>
        <v>0</v>
      </c>
      <c r="J34" s="78">
        <f t="shared" si="10"/>
        <v>0</v>
      </c>
    </row>
    <row r="35" spans="2:10">
      <c r="B35" s="93" t="s">
        <v>648</v>
      </c>
      <c r="C35" s="93"/>
      <c r="D35" s="78"/>
      <c r="E35" s="92"/>
      <c r="F35" s="78"/>
      <c r="G35" s="78">
        <f>SUM(G28:G34)</f>
        <v>57300000</v>
      </c>
      <c r="H35" s="78">
        <f>SUM(H28:H34)</f>
        <v>188000</v>
      </c>
      <c r="I35" s="78">
        <f>SUM(I28:I34)</f>
        <v>59010000</v>
      </c>
      <c r="J35" s="78">
        <f>SUM(J28:J34)</f>
        <v>1710000</v>
      </c>
    </row>
    <row r="36" spans="2:10">
      <c r="B36" s="4" t="s">
        <v>418</v>
      </c>
    </row>
    <row r="37" ht="29" spans="2:10">
      <c r="B37" s="73" t="s">
        <v>850</v>
      </c>
      <c r="C37" s="73" t="s">
        <v>654</v>
      </c>
      <c r="D37" s="74" t="s">
        <v>1207</v>
      </c>
      <c r="E37" s="73" t="s">
        <v>818</v>
      </c>
      <c r="F37" s="74" t="s">
        <v>819</v>
      </c>
      <c r="G37" s="73" t="s">
        <v>646</v>
      </c>
      <c r="H37" s="74" t="s">
        <v>1208</v>
      </c>
      <c r="I37" s="73" t="s">
        <v>1209</v>
      </c>
      <c r="J37" s="74" t="s">
        <v>853</v>
      </c>
    </row>
    <row r="38" spans="2:10">
      <c r="B38" s="40" t="s">
        <v>1228</v>
      </c>
      <c r="C38" s="40"/>
      <c r="D38" s="91">
        <v>20</v>
      </c>
      <c r="E38" s="92" t="s">
        <v>1229</v>
      </c>
      <c r="F38" s="92">
        <v>20000</v>
      </c>
      <c r="G38" s="78">
        <f>F38*D38</f>
        <v>400000</v>
      </c>
      <c r="H38" s="92"/>
      <c r="I38" s="78">
        <f t="shared" ref="I38:I40" si="11">D38*H38</f>
        <v>0</v>
      </c>
      <c r="J38" s="78">
        <f t="shared" ref="J38:J40" si="12">I38-G38</f>
        <v>-400000</v>
      </c>
    </row>
    <row r="39" spans="2:10">
      <c r="B39" s="40"/>
      <c r="C39" s="40"/>
      <c r="D39" s="91"/>
      <c r="E39" s="92"/>
      <c r="F39" s="92"/>
      <c r="G39" s="78">
        <f t="shared" ref="G38:G40" si="13">F39*D39</f>
        <v>0</v>
      </c>
      <c r="H39" s="92"/>
      <c r="I39" s="78">
        <f t="shared" si="11"/>
        <v>0</v>
      </c>
      <c r="J39" s="78">
        <f t="shared" si="12"/>
        <v>0</v>
      </c>
    </row>
    <row r="40" spans="2:10">
      <c r="B40" s="40"/>
      <c r="C40" s="40"/>
      <c r="D40" s="91"/>
      <c r="E40" s="92"/>
      <c r="F40" s="92"/>
      <c r="G40" s="78">
        <f t="shared" si="13"/>
        <v>0</v>
      </c>
      <c r="H40" s="92"/>
      <c r="I40" s="78">
        <f t="shared" si="11"/>
        <v>0</v>
      </c>
      <c r="J40" s="78">
        <f t="shared" si="12"/>
        <v>0</v>
      </c>
    </row>
    <row r="41" spans="2:10">
      <c r="B41" s="93" t="s">
        <v>648</v>
      </c>
      <c r="C41" s="93"/>
      <c r="D41" s="78">
        <f t="shared" ref="D41:J41" si="14">SUM(D38:D40)</f>
        <v>20</v>
      </c>
      <c r="E41" s="92" t="s">
        <v>1230</v>
      </c>
      <c r="F41" s="78">
        <f t="shared" si="14"/>
        <v>20000</v>
      </c>
      <c r="G41" s="78">
        <f t="shared" si="14"/>
        <v>400000</v>
      </c>
      <c r="H41" s="78">
        <f t="shared" si="14"/>
        <v>0</v>
      </c>
      <c r="I41" s="78">
        <f t="shared" si="14"/>
        <v>0</v>
      </c>
      <c r="J41" s="78">
        <f t="shared" si="14"/>
        <v>-400000</v>
      </c>
    </row>
    <row r="44" spans="2:10">
      <c r="B44" s="4" t="s">
        <v>1231</v>
      </c>
    </row>
    <row r="45" ht="29" spans="2:10">
      <c r="B45" s="73" t="s">
        <v>850</v>
      </c>
      <c r="C45" s="73" t="s">
        <v>654</v>
      </c>
      <c r="D45" s="74" t="s">
        <v>1207</v>
      </c>
      <c r="E45" s="73" t="s">
        <v>818</v>
      </c>
      <c r="F45" s="74" t="s">
        <v>819</v>
      </c>
      <c r="G45" s="73" t="s">
        <v>646</v>
      </c>
      <c r="H45" s="74" t="s">
        <v>1208</v>
      </c>
      <c r="I45" s="73" t="s">
        <v>1209</v>
      </c>
      <c r="J45" s="74" t="s">
        <v>853</v>
      </c>
    </row>
    <row r="46" spans="2:10">
      <c r="B46" s="75" t="s">
        <v>290</v>
      </c>
      <c r="C46" s="1067" t="s">
        <v>1232</v>
      </c>
      <c r="D46" s="76">
        <v>10</v>
      </c>
      <c r="E46" s="76" t="s">
        <v>1105</v>
      </c>
      <c r="F46" s="77">
        <v>20000</v>
      </c>
      <c r="G46" s="78">
        <f>SUM(D46*F46)</f>
        <v>200000</v>
      </c>
      <c r="H46" s="92">
        <v>24000</v>
      </c>
      <c r="I46" s="78">
        <f>D46*H46</f>
        <v>240000</v>
      </c>
      <c r="J46" s="78">
        <f>I46-G46</f>
        <v>40000</v>
      </c>
    </row>
    <row r="47" spans="2:10">
      <c r="B47" s="75" t="s">
        <v>1222</v>
      </c>
      <c r="C47" s="1067" t="s">
        <v>1232</v>
      </c>
      <c r="D47" s="76">
        <v>10</v>
      </c>
      <c r="E47" s="76" t="s">
        <v>1105</v>
      </c>
      <c r="F47" s="77">
        <v>20000</v>
      </c>
      <c r="G47" s="78">
        <f>SUM(D47*F47)</f>
        <v>200000</v>
      </c>
      <c r="H47" s="92">
        <v>24000</v>
      </c>
      <c r="I47" s="78">
        <f>D47*H47</f>
        <v>240000</v>
      </c>
      <c r="J47" s="78">
        <f>I47-G47</f>
        <v>40000</v>
      </c>
    </row>
    <row r="48" spans="2:10">
      <c r="B48" s="93" t="s">
        <v>1219</v>
      </c>
      <c r="C48" s="1072" t="s">
        <v>1232</v>
      </c>
      <c r="D48" s="94">
        <v>50</v>
      </c>
      <c r="E48" s="92" t="s">
        <v>1161</v>
      </c>
      <c r="F48" s="78">
        <v>96000</v>
      </c>
      <c r="G48" s="78">
        <f>SUM(D48*F48)</f>
        <v>4800000</v>
      </c>
      <c r="H48" s="78">
        <v>100000</v>
      </c>
      <c r="I48" s="78">
        <f>D48*H48</f>
        <v>5000000</v>
      </c>
      <c r="J48" s="78">
        <f>I48-G48</f>
        <v>200000</v>
      </c>
    </row>
    <row r="49" spans="2:10">
      <c r="B49" s="93"/>
      <c r="C49" s="93"/>
      <c r="D49" s="78"/>
      <c r="E49" s="92"/>
      <c r="F49" s="78"/>
      <c r="G49" s="78"/>
      <c r="H49" s="78"/>
      <c r="I49" s="78"/>
      <c r="J49" s="78"/>
    </row>
    <row r="50" spans="2:10">
      <c r="B50" s="93" t="s">
        <v>648</v>
      </c>
      <c r="C50" s="93"/>
      <c r="D50" s="78">
        <f t="shared" ref="D50:J50" si="15">SUM(D46:D47)</f>
        <v>20</v>
      </c>
      <c r="E50" s="92" t="s">
        <v>1233</v>
      </c>
      <c r="F50" s="78">
        <f t="shared" si="15"/>
        <v>40000</v>
      </c>
      <c r="G50" s="78">
        <f>SUM(G46:G49)</f>
        <v>5200000</v>
      </c>
      <c r="H50" s="78">
        <f t="shared" si="15"/>
        <v>48000</v>
      </c>
      <c r="I50" s="78">
        <f t="shared" si="15"/>
        <v>480000</v>
      </c>
      <c r="J50" s="78">
        <f>SUM(J46:J49)</f>
        <v>280000</v>
      </c>
    </row>
    <row r="53" ht="29" spans="2:10">
      <c r="B53" s="73" t="s">
        <v>850</v>
      </c>
      <c r="C53" s="73" t="s">
        <v>654</v>
      </c>
      <c r="D53" s="74" t="s">
        <v>1207</v>
      </c>
      <c r="E53" s="73" t="s">
        <v>818</v>
      </c>
      <c r="F53" s="74" t="s">
        <v>819</v>
      </c>
      <c r="G53" s="73" t="s">
        <v>646</v>
      </c>
      <c r="H53" s="74" t="s">
        <v>1208</v>
      </c>
      <c r="I53" s="73" t="s">
        <v>1209</v>
      </c>
      <c r="J53" s="74" t="s">
        <v>853</v>
      </c>
    </row>
    <row r="54" spans="2:10">
      <c r="B54" s="40"/>
      <c r="C54" s="40"/>
      <c r="D54" s="91"/>
      <c r="E54" s="92"/>
      <c r="F54" s="92"/>
      <c r="G54" s="78">
        <f t="shared" ref="G54:G56" si="16">F54*D54</f>
        <v>0</v>
      </c>
      <c r="H54" s="92"/>
      <c r="I54" s="78"/>
      <c r="J54" s="78"/>
    </row>
    <row r="55" spans="2:10">
      <c r="B55" s="40"/>
      <c r="C55" s="40"/>
      <c r="D55" s="91"/>
      <c r="E55" s="92"/>
      <c r="F55" s="92"/>
      <c r="G55" s="78">
        <f t="shared" si="16"/>
        <v>0</v>
      </c>
      <c r="H55" s="92"/>
      <c r="I55" s="78">
        <f>D55*H55</f>
        <v>0</v>
      </c>
      <c r="J55" s="78">
        <f>I55-G55</f>
        <v>0</v>
      </c>
    </row>
    <row r="56" spans="2:10">
      <c r="B56" s="40"/>
      <c r="C56" s="40"/>
      <c r="D56" s="91"/>
      <c r="E56" s="92"/>
      <c r="F56" s="92"/>
      <c r="G56" s="78">
        <f t="shared" si="16"/>
        <v>0</v>
      </c>
      <c r="H56" s="92"/>
      <c r="I56" s="78">
        <f>D56*H56</f>
        <v>0</v>
      </c>
      <c r="J56" s="78">
        <f>I56-G56</f>
        <v>0</v>
      </c>
    </row>
    <row r="57" spans="2:10">
      <c r="B57" s="93" t="s">
        <v>648</v>
      </c>
      <c r="C57" s="93"/>
      <c r="D57" s="93"/>
      <c r="E57" s="40"/>
      <c r="F57" s="78">
        <f t="shared" ref="F57:I57" si="17">SUM(F54:F56)</f>
        <v>0</v>
      </c>
      <c r="G57" s="78">
        <f t="shared" si="17"/>
        <v>0</v>
      </c>
      <c r="H57" s="78">
        <f t="shared" si="17"/>
        <v>0</v>
      </c>
      <c r="I57" s="78">
        <f t="shared" si="17"/>
        <v>0</v>
      </c>
      <c r="J57" s="78">
        <f>SUM(J55:J56)</f>
        <v>0</v>
      </c>
    </row>
    <row r="60" spans="2:10">
      <c r="H60" s="4" t="s">
        <v>1234</v>
      </c>
      <c r="I60" s="95">
        <f>I57+I50+I41+I35+I24+I13</f>
        <v>59490000</v>
      </c>
      <c r="J60" s="95"/>
    </row>
    <row r="61" spans="2:10">
      <c r="H61" s="4" t="s">
        <v>1235</v>
      </c>
      <c r="I61" s="95">
        <v>110000</v>
      </c>
    </row>
    <row r="62" spans="2:10">
      <c r="H62" s="4" t="s">
        <v>1236</v>
      </c>
      <c r="I62" s="95">
        <v>500000</v>
      </c>
    </row>
    <row r="63" spans="2:10">
      <c r="H63" s="4" t="s">
        <v>1237</v>
      </c>
      <c r="I63" s="95">
        <f>I60+I61+I62</f>
        <v>60100000</v>
      </c>
    </row>
    <row r="64" spans="2:10">
      <c r="H64" s="4" t="s">
        <v>1238</v>
      </c>
      <c r="I64" s="95">
        <v>2425000</v>
      </c>
    </row>
    <row r="65" spans="9:10">
      <c r="I65" s="95">
        <f>I63-I64</f>
        <v>57675000</v>
      </c>
      <c r="J65" s="95"/>
    </row>
    <row r="66" spans="9:10">
      <c r="I66" s="95"/>
      <c r="J66" s="95"/>
    </row>
    <row r="67" spans="9:10">
      <c r="I67" s="95"/>
      <c r="J67" s="95"/>
    </row>
    <row r="68" spans="9:10">
      <c r="I68" s="95"/>
      <c r="J68" s="95"/>
    </row>
    <row r="69" spans="9:10">
      <c r="I69" s="95"/>
      <c r="J69" s="95"/>
    </row>
    <row r="70" spans="9:10">
      <c r="J70" s="95"/>
    </row>
    <row r="71" spans="9:10">
      <c r="J71" s="95"/>
    </row>
  </sheetData>
  <mergeCells count="8">
    <mergeCell ref="B1:J1"/>
    <mergeCell ref="B2:J2"/>
    <mergeCell ref="B13:C13"/>
    <mergeCell ref="B24:C24"/>
    <mergeCell ref="B35:C35"/>
    <mergeCell ref="B41:C41"/>
    <mergeCell ref="B50:C50"/>
    <mergeCell ref="B57:C57"/>
  </mergeCells>
  <pageMargins left="0.7" right="0.7" top="0.75" bottom="0.75" header="0.3" footer="0.3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E5" sqref="E5"/>
    </sheetView>
  </sheetViews>
  <sheetFormatPr defaultColWidth="8.72727272727273" defaultRowHeight="14.5" outlineLevelRow="4" outlineLevelCol="6"/>
  <cols>
    <col min="1" max="1" width="5.36363636363636" style="68" customWidth="1"/>
    <col min="2" max="2" width="33.5454545454545" customWidth="1"/>
    <col min="3" max="3" width="17.0909090909091" customWidth="1"/>
    <col min="4" max="4" width="19.4545454545455" customWidth="1"/>
    <col min="5" max="5" width="18.7272727272727" customWidth="1"/>
    <col min="6" max="6" width="15.5454545454545"/>
  </cols>
  <sheetData>
    <row r="1" spans="1:7">
      <c r="A1" s="68" t="s">
        <v>1239</v>
      </c>
      <c r="B1" s="68"/>
      <c r="C1" s="68"/>
      <c r="D1" s="68"/>
      <c r="E1" s="68"/>
      <c r="F1" s="68"/>
      <c r="G1" s="68"/>
    </row>
    <row r="3" spans="1:7">
      <c r="A3" s="69" t="s">
        <v>414</v>
      </c>
      <c r="B3" s="69" t="s">
        <v>1240</v>
      </c>
      <c r="C3" s="69" t="s">
        <v>111</v>
      </c>
      <c r="D3" s="69" t="s">
        <v>1241</v>
      </c>
      <c r="E3" s="69" t="s">
        <v>418</v>
      </c>
    </row>
    <row r="4" spans="1:7">
      <c r="A4" s="69">
        <v>1</v>
      </c>
      <c r="B4" s="70" t="s">
        <v>1242</v>
      </c>
      <c r="C4" s="70">
        <v>105000000</v>
      </c>
      <c r="D4" s="70">
        <v>255000000</v>
      </c>
      <c r="E4" s="70">
        <f>SUM(D4-C4)</f>
        <v>150000000</v>
      </c>
    </row>
    <row r="5" spans="1:7">
      <c r="A5" s="69">
        <v>2</v>
      </c>
      <c r="B5" s="71" t="s">
        <v>1243</v>
      </c>
      <c r="C5" s="70">
        <v>30000000</v>
      </c>
      <c r="D5" s="70">
        <v>150000000</v>
      </c>
      <c r="E5" s="70">
        <f>SUM(D5-C5)</f>
        <v>120000000</v>
      </c>
    </row>
  </sheetData>
  <mergeCells count="1">
    <mergeCell ref="A1:G1"/>
  </mergeCells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O33"/>
  <sheetViews>
    <sheetView topLeftCell="A24" workbookViewId="0">
      <selection activeCell="D30" sqref="D30"/>
    </sheetView>
  </sheetViews>
  <sheetFormatPr defaultColWidth="9" defaultRowHeight="14.5"/>
  <cols>
    <col min="1" max="1" width="6.28181818181818" style="6" customWidth="1"/>
    <col min="2" max="2" width="11.7090909090909" style="7" customWidth="1"/>
    <col min="3" max="3" width="24.1363636363636" style="7" customWidth="1"/>
    <col min="4" max="4" width="14.4545454545455" style="7"/>
    <col min="5" max="5" width="9" style="7"/>
    <col min="6" max="7" width="9.13636363636364" style="6"/>
    <col min="8" max="8" width="10.2818181818182" style="6" customWidth="1"/>
    <col min="9" max="9" width="13.4272727272727" style="6" customWidth="1"/>
    <col min="10" max="11" width="11.5727272727273" style="7" customWidth="1"/>
    <col min="12" max="13" width="13.7090909090909" style="7" customWidth="1"/>
    <col min="14" max="14" width="14" style="7" customWidth="1"/>
    <col min="15" max="16384" width="9" style="7"/>
  </cols>
  <sheetData>
    <row r="5" s="1" customFormat="1" ht="20.25" customHeight="1" spans="1:15">
      <c r="A5" s="8" t="s">
        <v>414</v>
      </c>
      <c r="B5" s="8" t="s">
        <v>654</v>
      </c>
      <c r="C5" s="8" t="s">
        <v>850</v>
      </c>
      <c r="D5" s="9" t="s">
        <v>851</v>
      </c>
      <c r="E5" s="10"/>
      <c r="F5" s="10"/>
      <c r="G5" s="10"/>
      <c r="H5" s="10"/>
      <c r="I5" s="11"/>
      <c r="J5" s="12" t="s">
        <v>852</v>
      </c>
      <c r="K5" s="13"/>
      <c r="L5" s="13"/>
      <c r="M5" s="14"/>
      <c r="N5" s="15" t="s">
        <v>128</v>
      </c>
    </row>
    <row r="6" s="1" customFormat="1" ht="20.25" customHeight="1" spans="1:15">
      <c r="A6" s="16"/>
      <c r="B6" s="16"/>
      <c r="C6" s="16"/>
      <c r="D6" s="17" t="s">
        <v>1244</v>
      </c>
      <c r="E6" s="17" t="s">
        <v>856</v>
      </c>
      <c r="F6" s="17" t="s">
        <v>657</v>
      </c>
      <c r="G6" s="17" t="s">
        <v>859</v>
      </c>
      <c r="H6" s="9" t="s">
        <v>646</v>
      </c>
      <c r="I6" s="11"/>
      <c r="J6" s="12" t="s">
        <v>860</v>
      </c>
      <c r="K6" s="13"/>
      <c r="L6" s="18"/>
      <c r="M6" s="12" t="s">
        <v>1245</v>
      </c>
      <c r="N6" s="19"/>
    </row>
    <row r="7" s="1" customFormat="1" ht="20.25" customHeight="1" spans="1:15">
      <c r="A7" s="20"/>
      <c r="B7" s="20"/>
      <c r="C7" s="20"/>
      <c r="D7" s="21"/>
      <c r="E7" s="21"/>
      <c r="F7" s="21"/>
      <c r="G7" s="21"/>
      <c r="H7" s="21" t="s">
        <v>859</v>
      </c>
      <c r="I7" s="21" t="s">
        <v>657</v>
      </c>
      <c r="J7" s="22" t="s">
        <v>859</v>
      </c>
      <c r="K7" s="23" t="s">
        <v>1246</v>
      </c>
      <c r="L7" s="23" t="s">
        <v>657</v>
      </c>
      <c r="M7" s="23" t="s">
        <v>1246</v>
      </c>
      <c r="N7" s="24"/>
    </row>
    <row r="8" s="2" customFormat="1" ht="33.75" customHeight="1" spans="1:15">
      <c r="A8" s="25">
        <v>1</v>
      </c>
      <c r="B8" s="1075" t="s">
        <v>1247</v>
      </c>
      <c r="C8" s="27" t="s">
        <v>1248</v>
      </c>
      <c r="D8" s="25">
        <v>10</v>
      </c>
      <c r="E8" s="25"/>
      <c r="F8" s="28">
        <f t="shared" ref="F8:F26" si="0">SUM(D8+E8)-J8</f>
        <v>10</v>
      </c>
      <c r="G8" s="25" t="s">
        <v>1249</v>
      </c>
      <c r="H8" s="29">
        <v>292000</v>
      </c>
      <c r="I8" s="30">
        <f t="shared" ref="I8:I19" si="1">SUM(F8*H8)</f>
        <v>2920000</v>
      </c>
      <c r="J8" s="25"/>
      <c r="K8" s="31">
        <v>370000</v>
      </c>
      <c r="L8" s="32">
        <f t="shared" ref="L8:L26" si="2">SUM(J8*K8)</f>
        <v>0</v>
      </c>
      <c r="M8" s="33">
        <f t="shared" ref="M8:M26" si="3">SUM(J8*H8)</f>
        <v>0</v>
      </c>
      <c r="N8" s="34">
        <f t="shared" ref="N8:N26" si="4">SUM(L8-M8)</f>
        <v>0</v>
      </c>
      <c r="O8" s="35" t="e">
        <f t="shared" ref="O8:O26" si="5">SUM(N8/M8*100)</f>
        <v>#DIV/0!</v>
      </c>
    </row>
    <row r="9" s="2" customFormat="1" ht="33.75" customHeight="1" spans="1:15">
      <c r="A9" s="25">
        <v>2</v>
      </c>
      <c r="B9" s="1075" t="s">
        <v>1247</v>
      </c>
      <c r="C9" s="27" t="s">
        <v>1250</v>
      </c>
      <c r="D9" s="25">
        <v>17</v>
      </c>
      <c r="E9" s="25"/>
      <c r="F9" s="28">
        <f t="shared" si="0"/>
        <v>17</v>
      </c>
      <c r="G9" s="25" t="s">
        <v>1249</v>
      </c>
      <c r="H9" s="29">
        <v>160000</v>
      </c>
      <c r="I9" s="30">
        <f t="shared" si="1"/>
        <v>2720000</v>
      </c>
      <c r="J9" s="25"/>
      <c r="K9" s="31">
        <v>220000</v>
      </c>
      <c r="L9" s="32">
        <f t="shared" si="2"/>
        <v>0</v>
      </c>
      <c r="M9" s="33">
        <f t="shared" si="3"/>
        <v>0</v>
      </c>
      <c r="N9" s="34">
        <f t="shared" si="4"/>
        <v>0</v>
      </c>
      <c r="O9" s="35" t="e">
        <f t="shared" si="5"/>
        <v>#DIV/0!</v>
      </c>
    </row>
    <row r="10" s="2" customFormat="1" ht="33.75" customHeight="1" spans="1:15">
      <c r="A10" s="25">
        <v>3</v>
      </c>
      <c r="B10" s="1075" t="s">
        <v>1247</v>
      </c>
      <c r="C10" s="27" t="s">
        <v>1251</v>
      </c>
      <c r="D10" s="25">
        <v>40</v>
      </c>
      <c r="E10" s="25"/>
      <c r="F10" s="28">
        <f t="shared" si="0"/>
        <v>40</v>
      </c>
      <c r="G10" s="25" t="s">
        <v>1249</v>
      </c>
      <c r="H10" s="29">
        <v>370000</v>
      </c>
      <c r="I10" s="30">
        <f>SUM(F10*H10)-800000</f>
        <v>14000000</v>
      </c>
      <c r="J10" s="25"/>
      <c r="K10" s="31">
        <v>450000</v>
      </c>
      <c r="L10" s="32">
        <f t="shared" si="2"/>
        <v>0</v>
      </c>
      <c r="M10" s="33">
        <f t="shared" si="3"/>
        <v>0</v>
      </c>
      <c r="N10" s="34">
        <f t="shared" si="4"/>
        <v>0</v>
      </c>
      <c r="O10" s="35" t="e">
        <f t="shared" si="5"/>
        <v>#DIV/0!</v>
      </c>
    </row>
    <row r="11" s="3" customFormat="1" ht="33.75" customHeight="1" spans="1:15">
      <c r="A11" s="25">
        <v>4</v>
      </c>
      <c r="B11" s="1075" t="s">
        <v>1247</v>
      </c>
      <c r="C11" s="36" t="s">
        <v>1252</v>
      </c>
      <c r="D11" s="37">
        <v>60</v>
      </c>
      <c r="E11" s="37"/>
      <c r="F11" s="28">
        <f t="shared" si="0"/>
        <v>60</v>
      </c>
      <c r="G11" s="37" t="s">
        <v>1249</v>
      </c>
      <c r="H11" s="38">
        <v>65000</v>
      </c>
      <c r="I11" s="30">
        <f t="shared" si="1"/>
        <v>3900000</v>
      </c>
      <c r="J11" s="37"/>
      <c r="K11" s="39">
        <v>105000</v>
      </c>
      <c r="L11" s="32">
        <f t="shared" si="2"/>
        <v>0</v>
      </c>
      <c r="M11" s="33">
        <f t="shared" si="3"/>
        <v>0</v>
      </c>
      <c r="N11" s="34">
        <f t="shared" si="4"/>
        <v>0</v>
      </c>
      <c r="O11" s="35" t="e">
        <f t="shared" si="5"/>
        <v>#DIV/0!</v>
      </c>
    </row>
    <row r="12" s="3" customFormat="1" ht="33.75" customHeight="1" spans="1:15">
      <c r="A12" s="25">
        <v>5</v>
      </c>
      <c r="B12" s="1075" t="s">
        <v>1247</v>
      </c>
      <c r="C12" s="36" t="s">
        <v>1253</v>
      </c>
      <c r="D12" s="37">
        <v>40</v>
      </c>
      <c r="E12" s="37"/>
      <c r="F12" s="28">
        <f t="shared" si="0"/>
        <v>40</v>
      </c>
      <c r="G12" s="37" t="s">
        <v>1249</v>
      </c>
      <c r="H12" s="38">
        <v>180000</v>
      </c>
      <c r="I12" s="30">
        <f t="shared" si="1"/>
        <v>7200000</v>
      </c>
      <c r="J12" s="37"/>
      <c r="K12" s="39">
        <v>225000</v>
      </c>
      <c r="L12" s="32">
        <f t="shared" si="2"/>
        <v>0</v>
      </c>
      <c r="M12" s="33">
        <f t="shared" si="3"/>
        <v>0</v>
      </c>
      <c r="N12" s="34">
        <f t="shared" si="4"/>
        <v>0</v>
      </c>
      <c r="O12" s="35" t="e">
        <f t="shared" si="5"/>
        <v>#DIV/0!</v>
      </c>
    </row>
    <row r="13" s="4" customFormat="1" ht="33.75" customHeight="1" spans="1:15">
      <c r="A13" s="25">
        <v>6</v>
      </c>
      <c r="B13" s="1075" t="s">
        <v>1247</v>
      </c>
      <c r="C13" s="40" t="s">
        <v>1254</v>
      </c>
      <c r="D13" s="37">
        <v>2</v>
      </c>
      <c r="E13" s="37"/>
      <c r="F13" s="28">
        <f t="shared" si="0"/>
        <v>2</v>
      </c>
      <c r="G13" s="37" t="s">
        <v>1249</v>
      </c>
      <c r="H13" s="41">
        <v>175000</v>
      </c>
      <c r="I13" s="30">
        <f t="shared" si="1"/>
        <v>350000</v>
      </c>
      <c r="J13" s="37"/>
      <c r="K13" s="42">
        <v>240000</v>
      </c>
      <c r="L13" s="43">
        <f t="shared" si="2"/>
        <v>0</v>
      </c>
      <c r="M13" s="44">
        <f t="shared" si="3"/>
        <v>0</v>
      </c>
      <c r="N13" s="45">
        <f t="shared" si="4"/>
        <v>0</v>
      </c>
      <c r="O13" s="35" t="e">
        <f t="shared" si="5"/>
        <v>#DIV/0!</v>
      </c>
    </row>
    <row r="14" s="4" customFormat="1" ht="33.75" customHeight="1" spans="1:15">
      <c r="A14" s="25">
        <v>7</v>
      </c>
      <c r="B14" s="1075" t="s">
        <v>1247</v>
      </c>
      <c r="C14" s="40" t="s">
        <v>1255</v>
      </c>
      <c r="D14" s="37">
        <v>2</v>
      </c>
      <c r="E14" s="37"/>
      <c r="F14" s="28">
        <f t="shared" si="0"/>
        <v>2</v>
      </c>
      <c r="G14" s="37" t="s">
        <v>1256</v>
      </c>
      <c r="H14" s="42">
        <v>132000</v>
      </c>
      <c r="I14" s="30">
        <f t="shared" si="1"/>
        <v>264000</v>
      </c>
      <c r="J14" s="37"/>
      <c r="K14" s="42">
        <v>180000</v>
      </c>
      <c r="L14" s="43">
        <f t="shared" si="2"/>
        <v>0</v>
      </c>
      <c r="M14" s="44">
        <f t="shared" si="3"/>
        <v>0</v>
      </c>
      <c r="N14" s="45">
        <f t="shared" si="4"/>
        <v>0</v>
      </c>
      <c r="O14" s="35" t="e">
        <f t="shared" si="5"/>
        <v>#DIV/0!</v>
      </c>
    </row>
    <row r="15" s="4" customFormat="1" ht="33.75" customHeight="1" spans="1:15">
      <c r="A15" s="25">
        <v>8</v>
      </c>
      <c r="B15" s="1075" t="s">
        <v>1247</v>
      </c>
      <c r="C15" s="40" t="s">
        <v>1257</v>
      </c>
      <c r="D15" s="37">
        <v>50</v>
      </c>
      <c r="E15" s="37"/>
      <c r="F15" s="28">
        <f t="shared" si="0"/>
        <v>50</v>
      </c>
      <c r="G15" s="37" t="s">
        <v>1256</v>
      </c>
      <c r="H15" s="39">
        <v>57000</v>
      </c>
      <c r="I15" s="30">
        <f t="shared" si="1"/>
        <v>2850000</v>
      </c>
      <c r="J15" s="37"/>
      <c r="K15" s="39">
        <v>85000</v>
      </c>
      <c r="L15" s="32">
        <f t="shared" si="2"/>
        <v>0</v>
      </c>
      <c r="M15" s="33">
        <f t="shared" si="3"/>
        <v>0</v>
      </c>
      <c r="N15" s="34">
        <f t="shared" si="4"/>
        <v>0</v>
      </c>
      <c r="O15" s="35" t="e">
        <f t="shared" si="5"/>
        <v>#DIV/0!</v>
      </c>
    </row>
    <row r="16" s="4" customFormat="1" ht="33.75" customHeight="1" spans="1:15">
      <c r="A16" s="25">
        <v>9</v>
      </c>
      <c r="B16" s="1075" t="s">
        <v>1247</v>
      </c>
      <c r="C16" s="40" t="s">
        <v>1258</v>
      </c>
      <c r="D16" s="37">
        <v>80</v>
      </c>
      <c r="E16" s="37"/>
      <c r="F16" s="28">
        <f t="shared" si="0"/>
        <v>80</v>
      </c>
      <c r="G16" s="37" t="s">
        <v>1249</v>
      </c>
      <c r="H16" s="39">
        <v>27000</v>
      </c>
      <c r="I16" s="30">
        <f t="shared" si="1"/>
        <v>2160000</v>
      </c>
      <c r="J16" s="37"/>
      <c r="K16" s="39">
        <v>45000</v>
      </c>
      <c r="L16" s="32">
        <f t="shared" si="2"/>
        <v>0</v>
      </c>
      <c r="M16" s="33">
        <f t="shared" si="3"/>
        <v>0</v>
      </c>
      <c r="N16" s="34">
        <f t="shared" si="4"/>
        <v>0</v>
      </c>
      <c r="O16" s="35" t="e">
        <f t="shared" si="5"/>
        <v>#DIV/0!</v>
      </c>
    </row>
    <row r="17" s="4" customFormat="1" ht="33.75" customHeight="1" spans="1:15">
      <c r="A17" s="25">
        <v>10</v>
      </c>
      <c r="B17" s="1075" t="s">
        <v>1247</v>
      </c>
      <c r="C17" s="40" t="s">
        <v>1259</v>
      </c>
      <c r="D17" s="37">
        <v>40</v>
      </c>
      <c r="E17" s="37"/>
      <c r="F17" s="28">
        <f t="shared" si="0"/>
        <v>40</v>
      </c>
      <c r="G17" s="37" t="s">
        <v>1249</v>
      </c>
      <c r="H17" s="39">
        <v>52000</v>
      </c>
      <c r="I17" s="30">
        <f t="shared" si="1"/>
        <v>2080000</v>
      </c>
      <c r="J17" s="37"/>
      <c r="K17" s="39">
        <v>95000</v>
      </c>
      <c r="L17" s="32">
        <f t="shared" si="2"/>
        <v>0</v>
      </c>
      <c r="M17" s="33">
        <f t="shared" si="3"/>
        <v>0</v>
      </c>
      <c r="N17" s="34">
        <f t="shared" si="4"/>
        <v>0</v>
      </c>
      <c r="O17" s="35" t="e">
        <f t="shared" si="5"/>
        <v>#DIV/0!</v>
      </c>
    </row>
    <row r="18" s="4" customFormat="1" ht="33.75" customHeight="1" spans="1:15">
      <c r="A18" s="25">
        <v>11</v>
      </c>
      <c r="B18" s="1075" t="s">
        <v>1247</v>
      </c>
      <c r="C18" s="40" t="s">
        <v>1260</v>
      </c>
      <c r="D18" s="37">
        <v>40</v>
      </c>
      <c r="E18" s="37"/>
      <c r="F18" s="28">
        <f t="shared" si="0"/>
        <v>40</v>
      </c>
      <c r="G18" s="37" t="s">
        <v>1249</v>
      </c>
      <c r="H18" s="39">
        <v>55000</v>
      </c>
      <c r="I18" s="30">
        <f t="shared" si="1"/>
        <v>2200000</v>
      </c>
      <c r="J18" s="37"/>
      <c r="K18" s="39">
        <v>95000</v>
      </c>
      <c r="L18" s="32">
        <f t="shared" si="2"/>
        <v>0</v>
      </c>
      <c r="M18" s="33">
        <f t="shared" si="3"/>
        <v>0</v>
      </c>
      <c r="N18" s="34">
        <f t="shared" si="4"/>
        <v>0</v>
      </c>
      <c r="O18" s="35" t="e">
        <f t="shared" si="5"/>
        <v>#DIV/0!</v>
      </c>
    </row>
    <row r="19" s="4" customFormat="1" ht="33.75" customHeight="1" spans="1:15">
      <c r="A19" s="25">
        <v>12</v>
      </c>
      <c r="B19" s="1075" t="s">
        <v>1247</v>
      </c>
      <c r="C19" s="40" t="s">
        <v>1261</v>
      </c>
      <c r="D19" s="37">
        <v>40</v>
      </c>
      <c r="E19" s="37"/>
      <c r="F19" s="28">
        <f t="shared" si="0"/>
        <v>40</v>
      </c>
      <c r="G19" s="37" t="s">
        <v>1249</v>
      </c>
      <c r="H19" s="39">
        <v>65000</v>
      </c>
      <c r="I19" s="30">
        <f t="shared" si="1"/>
        <v>2600000</v>
      </c>
      <c r="J19" s="37"/>
      <c r="K19" s="39">
        <v>100000</v>
      </c>
      <c r="L19" s="32">
        <f t="shared" si="2"/>
        <v>0</v>
      </c>
      <c r="M19" s="33">
        <f t="shared" si="3"/>
        <v>0</v>
      </c>
      <c r="N19" s="34">
        <f t="shared" si="4"/>
        <v>0</v>
      </c>
      <c r="O19" s="35" t="e">
        <f t="shared" si="5"/>
        <v>#DIV/0!</v>
      </c>
    </row>
    <row r="20" s="4" customFormat="1" ht="33.75" customHeight="1" spans="1:15">
      <c r="A20" s="25">
        <v>13</v>
      </c>
      <c r="B20" s="1075" t="s">
        <v>1247</v>
      </c>
      <c r="C20" s="40" t="s">
        <v>1262</v>
      </c>
      <c r="D20" s="37">
        <v>46</v>
      </c>
      <c r="E20" s="37"/>
      <c r="F20" s="28">
        <f t="shared" si="0"/>
        <v>46</v>
      </c>
      <c r="G20" s="37" t="s">
        <v>1249</v>
      </c>
      <c r="H20" s="39">
        <v>30000</v>
      </c>
      <c r="I20" s="30">
        <f>SUM(F20*H20)-180000</f>
        <v>1200000</v>
      </c>
      <c r="J20" s="37"/>
      <c r="K20" s="39">
        <v>40000</v>
      </c>
      <c r="L20" s="32">
        <f t="shared" si="2"/>
        <v>0</v>
      </c>
      <c r="M20" s="33">
        <f t="shared" si="3"/>
        <v>0</v>
      </c>
      <c r="N20" s="34">
        <f t="shared" si="4"/>
        <v>0</v>
      </c>
      <c r="O20" s="35" t="e">
        <f t="shared" si="5"/>
        <v>#DIV/0!</v>
      </c>
    </row>
    <row r="21" s="4" customFormat="1" ht="33.75" customHeight="1" spans="1:15">
      <c r="A21" s="25">
        <v>14</v>
      </c>
      <c r="B21" s="1075" t="s">
        <v>1247</v>
      </c>
      <c r="C21" s="40" t="s">
        <v>1263</v>
      </c>
      <c r="D21" s="37">
        <v>40</v>
      </c>
      <c r="E21" s="37"/>
      <c r="F21" s="28">
        <f t="shared" si="0"/>
        <v>40</v>
      </c>
      <c r="G21" s="37" t="s">
        <v>1249</v>
      </c>
      <c r="H21" s="39">
        <v>45000</v>
      </c>
      <c r="I21" s="30">
        <f t="shared" ref="I21:I25" si="6">SUM(F21*H21)</f>
        <v>1800000</v>
      </c>
      <c r="J21" s="37"/>
      <c r="K21" s="39">
        <v>90000</v>
      </c>
      <c r="L21" s="32">
        <f t="shared" si="2"/>
        <v>0</v>
      </c>
      <c r="M21" s="33">
        <f t="shared" si="3"/>
        <v>0</v>
      </c>
      <c r="N21" s="34">
        <f t="shared" si="4"/>
        <v>0</v>
      </c>
      <c r="O21" s="35" t="e">
        <f t="shared" si="5"/>
        <v>#DIV/0!</v>
      </c>
    </row>
    <row r="22" s="4" customFormat="1" ht="33.75" customHeight="1" spans="1:15">
      <c r="A22" s="25">
        <v>15</v>
      </c>
      <c r="B22" s="1075" t="s">
        <v>1247</v>
      </c>
      <c r="C22" s="40" t="s">
        <v>1264</v>
      </c>
      <c r="D22" s="37">
        <v>40</v>
      </c>
      <c r="E22" s="37"/>
      <c r="F22" s="28">
        <f t="shared" si="0"/>
        <v>40</v>
      </c>
      <c r="G22" s="37" t="s">
        <v>1249</v>
      </c>
      <c r="H22" s="39">
        <v>60000</v>
      </c>
      <c r="I22" s="30">
        <f t="shared" si="6"/>
        <v>2400000</v>
      </c>
      <c r="J22" s="37"/>
      <c r="K22" s="39">
        <v>85000</v>
      </c>
      <c r="L22" s="32">
        <f t="shared" si="2"/>
        <v>0</v>
      </c>
      <c r="M22" s="33">
        <f t="shared" si="3"/>
        <v>0</v>
      </c>
      <c r="N22" s="34">
        <f t="shared" si="4"/>
        <v>0</v>
      </c>
      <c r="O22" s="35" t="e">
        <f t="shared" si="5"/>
        <v>#DIV/0!</v>
      </c>
    </row>
    <row r="23" s="4" customFormat="1" ht="33.75" customHeight="1" spans="1:15">
      <c r="A23" s="25">
        <v>16</v>
      </c>
      <c r="B23" s="1075" t="s">
        <v>1247</v>
      </c>
      <c r="C23" s="40" t="s">
        <v>1265</v>
      </c>
      <c r="D23" s="37">
        <v>2</v>
      </c>
      <c r="E23" s="37"/>
      <c r="F23" s="28">
        <f t="shared" si="0"/>
        <v>2</v>
      </c>
      <c r="G23" s="37" t="s">
        <v>941</v>
      </c>
      <c r="H23" s="39">
        <v>165000</v>
      </c>
      <c r="I23" s="30">
        <f t="shared" si="6"/>
        <v>330000</v>
      </c>
      <c r="J23" s="37"/>
      <c r="K23" s="39">
        <v>250000</v>
      </c>
      <c r="L23" s="32">
        <f t="shared" si="2"/>
        <v>0</v>
      </c>
      <c r="M23" s="33">
        <f t="shared" si="3"/>
        <v>0</v>
      </c>
      <c r="N23" s="34">
        <f t="shared" si="4"/>
        <v>0</v>
      </c>
      <c r="O23" s="35" t="e">
        <f t="shared" si="5"/>
        <v>#DIV/0!</v>
      </c>
    </row>
    <row r="24" s="4" customFormat="1" ht="33.75" customHeight="1" spans="1:15">
      <c r="A24" s="25">
        <v>17</v>
      </c>
      <c r="B24" s="1075" t="s">
        <v>1247</v>
      </c>
      <c r="C24" s="40" t="s">
        <v>1266</v>
      </c>
      <c r="D24" s="37">
        <v>3</v>
      </c>
      <c r="E24" s="37"/>
      <c r="F24" s="28">
        <f t="shared" si="0"/>
        <v>3</v>
      </c>
      <c r="G24" s="37" t="s">
        <v>941</v>
      </c>
      <c r="H24" s="39">
        <v>165000</v>
      </c>
      <c r="I24" s="30">
        <f t="shared" si="6"/>
        <v>495000</v>
      </c>
      <c r="J24" s="37"/>
      <c r="K24" s="39">
        <v>250000</v>
      </c>
      <c r="L24" s="32">
        <f t="shared" si="2"/>
        <v>0</v>
      </c>
      <c r="M24" s="33">
        <f t="shared" si="3"/>
        <v>0</v>
      </c>
      <c r="N24" s="34">
        <f t="shared" si="4"/>
        <v>0</v>
      </c>
      <c r="O24" s="35" t="e">
        <f t="shared" si="5"/>
        <v>#DIV/0!</v>
      </c>
    </row>
    <row r="25" s="4" customFormat="1" ht="33.75" customHeight="1" spans="1:15">
      <c r="A25" s="25">
        <v>18</v>
      </c>
      <c r="B25" s="1075" t="s">
        <v>1247</v>
      </c>
      <c r="C25" s="40" t="s">
        <v>1267</v>
      </c>
      <c r="D25" s="37">
        <v>1</v>
      </c>
      <c r="E25" s="37"/>
      <c r="F25" s="28">
        <f t="shared" si="0"/>
        <v>1</v>
      </c>
      <c r="G25" s="37" t="s">
        <v>1268</v>
      </c>
      <c r="H25" s="39">
        <v>295000</v>
      </c>
      <c r="I25" s="30">
        <f t="shared" si="6"/>
        <v>295000</v>
      </c>
      <c r="J25" s="37"/>
      <c r="K25" s="39">
        <v>295000</v>
      </c>
      <c r="L25" s="32">
        <f t="shared" si="2"/>
        <v>0</v>
      </c>
      <c r="M25" s="33">
        <f t="shared" si="3"/>
        <v>0</v>
      </c>
      <c r="N25" s="34">
        <f t="shared" si="4"/>
        <v>0</v>
      </c>
      <c r="O25" s="35" t="e">
        <f t="shared" si="5"/>
        <v>#DIV/0!</v>
      </c>
    </row>
    <row r="26" s="4" customFormat="1" ht="33.75" customHeight="1" spans="1:15">
      <c r="A26" s="46">
        <v>19</v>
      </c>
      <c r="B26" s="1076" t="s">
        <v>1247</v>
      </c>
      <c r="C26" s="48" t="s">
        <v>1269</v>
      </c>
      <c r="D26" s="49">
        <v>40</v>
      </c>
      <c r="E26" s="49"/>
      <c r="F26" s="50">
        <f t="shared" si="0"/>
        <v>40</v>
      </c>
      <c r="G26" s="49" t="s">
        <v>1249</v>
      </c>
      <c r="H26" s="51">
        <v>365000</v>
      </c>
      <c r="I26" s="52">
        <f>SUM(F26*H26)-600000</f>
        <v>14000000</v>
      </c>
      <c r="J26" s="49"/>
      <c r="K26" s="51">
        <v>440000</v>
      </c>
      <c r="L26" s="53">
        <f t="shared" si="2"/>
        <v>0</v>
      </c>
      <c r="M26" s="54">
        <f t="shared" si="3"/>
        <v>0</v>
      </c>
      <c r="N26" s="55">
        <f t="shared" si="4"/>
        <v>0</v>
      </c>
      <c r="O26" s="35" t="e">
        <f t="shared" si="5"/>
        <v>#DIV/0!</v>
      </c>
    </row>
    <row r="27" s="5" customFormat="1" ht="34.5" customHeight="1" spans="1:15">
      <c r="A27" s="56"/>
      <c r="B27" s="57"/>
      <c r="C27" s="58" t="s">
        <v>111</v>
      </c>
      <c r="D27" s="59"/>
      <c r="E27" s="59"/>
      <c r="F27" s="59"/>
      <c r="G27" s="59"/>
      <c r="H27" s="60"/>
      <c r="I27" s="61">
        <f t="shared" ref="I27:N27" si="7">SUM(I8:I26)</f>
        <v>63764000</v>
      </c>
      <c r="J27" s="62"/>
      <c r="K27" s="63"/>
      <c r="L27" s="61">
        <f t="shared" si="7"/>
        <v>0</v>
      </c>
      <c r="M27" s="61">
        <f t="shared" si="7"/>
        <v>0</v>
      </c>
      <c r="N27" s="61">
        <f t="shared" si="7"/>
        <v>0</v>
      </c>
    </row>
    <row r="28" ht="23.25" customHeight="1" spans="1:15">
      <c r="M28" s="64"/>
    </row>
    <row r="29" ht="23.25" customHeight="1" spans="1:15">
      <c r="C29" s="7" t="s">
        <v>1270</v>
      </c>
      <c r="D29" s="65">
        <f>SUM('[55]Tahap ke 4'!$C$31)</f>
        <v>20922800</v>
      </c>
      <c r="J29" s="66"/>
      <c r="K29" s="66"/>
      <c r="L29" s="66"/>
    </row>
    <row r="30" ht="23.25" customHeight="1" spans="1:15">
      <c r="D30" s="65">
        <f>SUM(D29+I27)</f>
        <v>84686800</v>
      </c>
      <c r="H30" s="67">
        <f>900000/20</f>
        <v>45000</v>
      </c>
    </row>
    <row r="31" ht="23.25" customHeight="1" spans="1:15">
      <c r="D31" s="65"/>
    </row>
    <row r="32" ht="23.25" customHeight="1"/>
    <row r="33" ht="23.25" customHeight="1"/>
  </sheetData>
  <mergeCells count="12">
    <mergeCell ref="D5:I5"/>
    <mergeCell ref="J5:M5"/>
    <mergeCell ref="H6:I6"/>
    <mergeCell ref="J6:L6"/>
    <mergeCell ref="C27:H27"/>
    <mergeCell ref="A5:A7"/>
    <mergeCell ref="B5:B7"/>
    <mergeCell ref="C5:C7"/>
    <mergeCell ref="D6:D7"/>
    <mergeCell ref="E6:E7"/>
    <mergeCell ref="F6:F7"/>
    <mergeCell ref="G6:G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PT. KARYA MATAHARI MANDIRI</Company>
  <Application>Microsoft Excel</Application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NERACA</vt:lpstr>
      <vt:lpstr>RUGI LABA </vt:lpstr>
      <vt:lpstr>RL JAN-DES</vt:lpstr>
      <vt:lpstr>KASHAR</vt:lpstr>
      <vt:lpstr>MODUS</vt:lpstr>
      <vt:lpstr>MULTI</vt:lpstr>
      <vt:lpstr>REKAP</vt:lpstr>
      <vt:lpstr>BRILink</vt:lpstr>
      <vt:lpstr>BIAYA OPERASIONAL</vt:lpstr>
      <vt:lpstr>Gaji Pengawas</vt:lpstr>
      <vt:lpstr>Gaji Pegawai</vt:lpstr>
      <vt:lpstr>TOKO BENGKEL</vt:lpstr>
      <vt:lpstr>INVENTARIS</vt:lpstr>
      <vt:lpstr>titik 1</vt:lpstr>
      <vt:lpstr>titik 2</vt:lpstr>
      <vt:lpstr>titik 3</vt:lpstr>
      <vt:lpstr>titik 4</vt:lpstr>
      <vt:lpstr>titik 5</vt:lpstr>
      <vt:lpstr>titik 6</vt:lpstr>
      <vt:lpstr>titik 7</vt:lpstr>
      <vt:lpstr>titik 8</vt:lpstr>
      <vt:lpstr>PENG. GALUNG JAMPU TAHAP KE 2</vt:lpstr>
      <vt:lpstr>PENG. LOMPO E TAHAP KE (2)</vt:lpstr>
      <vt:lpstr>Mantanaice bor air</vt:lpstr>
      <vt:lpstr>Pengadaan barang dan jasa</vt:lpstr>
      <vt:lpstr>Sheet1</vt:lpstr>
      <vt:lpstr>PESTISIDA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KMM BLOCK</dc:creator>
  <cp:lastModifiedBy>Irma Alisa</cp:lastModifiedBy>
  <dcterms:created xsi:type="dcterms:W3CDTF">2018-04-05T12:13:00Z</dcterms:created>
  <cp:lastPrinted>2024-12-25T14:39:00Z</cp:lastPrinted>
  <dcterms:modified xsi:type="dcterms:W3CDTF">2026-09-01T07:58:09Z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431754BCC4CE4D95B79D14FCF4831504_12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